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'Mileage Log'!$A$2:$S$11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DD/MM/YYYY"/>
    <numFmt numFmtId="165" formatCode="&quot;€&quot;#,##0.00"/>
    <numFmt numFmtId="166" formatCode="0.0%"/>
    <numFmt numFmtId="167" formatCode="&quot;€&quot;#,##0.0000"/>
    <numFmt numFmtId="168" formatCode="MMM YYYY"/>
    <numFmt numFmtId="169" formatCode="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DC2626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C8102E"/>
      <sz val="12"/>
    </font>
  </fonts>
  <fills count="9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FF1F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5" fillId="4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4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7" fontId="3" fillId="3" borderId="1" applyAlignment="1" pivotButton="0" quotePrefix="0" xfId="0">
      <alignment horizontal="right" vertical="center"/>
    </xf>
    <xf numFmtId="3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8" fontId="3" fillId="4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8" fontId="3" fillId="5" borderId="1" applyAlignment="1" pivotButton="0" quotePrefix="0" xfId="0">
      <alignment horizontal="center" vertical="center" wrapText="1"/>
    </xf>
    <xf numFmtId="4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3" fontId="6" fillId="7" borderId="1" applyAlignment="1" pivotButton="0" quotePrefix="0" xfId="0">
      <alignment horizontal="center" vertical="center" wrapText="1"/>
    </xf>
    <xf numFmtId="4" fontId="6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169" fontId="6" fillId="7" borderId="1" applyAlignment="1" pivotButton="0" quotePrefix="0" xfId="0">
      <alignment horizontal="right" vertical="center"/>
    </xf>
    <xf numFmtId="0" fontId="7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168" fontId="3" fillId="4" borderId="1" applyAlignment="1" pivotButton="0" quotePrefix="0" xfId="0">
      <alignment horizontal="center" vertical="center" wrapText="1"/>
    </xf>
    <xf numFmtId="168" fontId="3" fillId="5" borderId="1" applyAlignment="1" pivotButton="0" quotePrefix="0" xfId="0">
      <alignment horizontal="center" vertical="center" wrapText="1"/>
    </xf>
    <xf numFmtId="169" fontId="6" fillId="7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Total Claim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'Summary'!D26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'Summary'!$A$27:$A$38</f>
            </numRef>
          </cat>
          <val>
            <numRef>
              <f>'Summary'!$D$27:$D$38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Claim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43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0" customWidth="1" min="3" max="3"/>
    <col width="18" customWidth="1" min="4" max="4"/>
    <col width="18" customWidth="1" min="5" max="5"/>
    <col width="14" customWidth="1" min="6" max="6"/>
    <col width="28" customWidth="1" min="7" max="7"/>
    <col width="14" customWidth="1" min="8" max="8"/>
    <col width="14" customWidth="1" min="9" max="9"/>
    <col width="16" customWidth="1" min="10" max="10"/>
    <col width="12" customWidth="1" min="11" max="11"/>
    <col width="14" customWidth="1" min="12" max="12"/>
    <col width="12" customWidth="1" min="13" max="13"/>
    <col width="14" customWidth="1" min="14" max="14"/>
    <col width="14" customWidth="1" min="15" max="15"/>
    <col width="15" customWidth="1" min="16" max="16"/>
    <col width="18" customWidth="1" min="17" max="17"/>
    <col width="20" customWidth="1" min="18" max="18"/>
    <col width="10" customWidth="1" min="19" max="19"/>
  </cols>
  <sheetData>
    <row r="1" ht="32" customHeight="1">
      <c r="A1" s="1" t="inlineStr">
        <is>
          <t>Revenue Mileage Claim Log – Civil Service Rates (Ireland)</t>
        </is>
      </c>
    </row>
    <row r="2" ht="36" customHeight="1">
      <c r="A2" s="2" t="inlineStr">
        <is>
          <t>Date</t>
        </is>
      </c>
      <c r="B2" s="2" t="inlineStr">
        <is>
          <t>Employee Name</t>
        </is>
      </c>
      <c r="C2" s="2" t="inlineStr">
        <is>
          <t>Department / Section</t>
        </is>
      </c>
      <c r="D2" s="2" t="inlineStr">
        <is>
          <t>Start Location</t>
        </is>
      </c>
      <c r="E2" s="2" t="inlineStr">
        <is>
          <t>Destination</t>
        </is>
      </c>
      <c r="F2" s="2" t="inlineStr">
        <is>
          <t>County</t>
        </is>
      </c>
      <c r="G2" s="2" t="inlineStr">
        <is>
          <t>Journey Purpose</t>
        </is>
      </c>
      <c r="H2" s="2" t="inlineStr">
        <is>
          <t>Vehicle Type</t>
        </is>
      </c>
      <c r="I2" s="2" t="inlineStr">
        <is>
          <t>Engine Size / CC</t>
        </is>
      </c>
      <c r="J2" s="2" t="inlineStr">
        <is>
          <t>Distance One Way (km)</t>
        </is>
      </c>
      <c r="K2" s="2" t="inlineStr">
        <is>
          <t>Return Trip?</t>
        </is>
      </c>
      <c r="L2" s="2" t="inlineStr">
        <is>
          <t>Total Claimable Km</t>
        </is>
      </c>
      <c r="M2" s="2" t="inlineStr">
        <is>
          <t>Rate per Km</t>
        </is>
      </c>
      <c r="N2" s="2" t="inlineStr">
        <is>
          <t>Claim Amount €</t>
        </is>
      </c>
      <c r="O2" s="2" t="inlineStr">
        <is>
          <t>VAT Inclusive?</t>
        </is>
      </c>
      <c r="P2" s="2" t="inlineStr">
        <is>
          <t>Approval Status</t>
        </is>
      </c>
      <c r="Q2" s="2" t="inlineStr">
        <is>
          <t>Manager</t>
        </is>
      </c>
      <c r="R2" s="2" t="inlineStr">
        <is>
          <t>Notes</t>
        </is>
      </c>
      <c r="S2" s="2" t="inlineStr">
        <is>
          <t>Alert</t>
        </is>
      </c>
    </row>
    <row r="3">
      <c r="A3" s="3" t="inlineStr">
        <is>
          <t>01/06/2026</t>
        </is>
      </c>
      <c r="B3" s="4" t="inlineStr">
        <is>
          <t>Aoife Murphy</t>
        </is>
      </c>
      <c r="C3" s="4" t="inlineStr">
        <is>
          <t>HR &amp; Operations</t>
        </is>
      </c>
      <c r="D3" s="4" t="inlineStr">
        <is>
          <t>Dublin</t>
        </is>
      </c>
      <c r="E3" s="4" t="inlineStr">
        <is>
          <t>Cork</t>
        </is>
      </c>
      <c r="F3" s="4" t="inlineStr">
        <is>
          <t>Cork</t>
        </is>
      </c>
      <c r="G3" s="4" t="inlineStr">
        <is>
          <t>Stakeholder Meeting</t>
        </is>
      </c>
      <c r="H3" s="5" t="inlineStr">
        <is>
          <t>Car</t>
        </is>
      </c>
      <c r="I3" s="5" t="n">
        <v>1400</v>
      </c>
      <c r="J3" s="5" t="n">
        <v>258</v>
      </c>
      <c r="K3" s="5" t="inlineStr">
        <is>
          <t>Yes</t>
        </is>
      </c>
      <c r="L3" s="6">
        <f>IF(K3="Yes",J3*2,J3)</f>
        <v/>
      </c>
      <c r="M3" s="6">
        <f>IFERROR(VLOOKUP(I3,Summary!$B$5:$D$9,3,TRUE),0)</f>
        <v/>
      </c>
      <c r="N3" s="7">
        <f>L3*M3</f>
        <v/>
      </c>
      <c r="O3" s="8" t="inlineStr">
        <is>
          <t>No</t>
        </is>
      </c>
      <c r="P3" s="5" t="inlineStr">
        <is>
          <t>Approved</t>
        </is>
      </c>
      <c r="Q3" s="4" t="inlineStr">
        <is>
          <t>D. Lynch</t>
        </is>
      </c>
      <c r="R3" s="4" t="inlineStr">
        <is>
          <t>Annual review meeting</t>
        </is>
      </c>
      <c r="S3" s="9">
        <f>IF(L3&gt;500,"Check","")</f>
        <v/>
      </c>
    </row>
    <row r="4">
      <c r="A4" s="3" t="inlineStr">
        <is>
          <t>03/06/2026</t>
        </is>
      </c>
      <c r="B4" s="4" t="inlineStr">
        <is>
          <t>Seán O'Connor</t>
        </is>
      </c>
      <c r="C4" s="4" t="inlineStr">
        <is>
          <t>Finance</t>
        </is>
      </c>
      <c r="D4" s="4" t="inlineStr">
        <is>
          <t>Galway</t>
        </is>
      </c>
      <c r="E4" s="4" t="inlineStr">
        <is>
          <t>Limerick</t>
        </is>
      </c>
      <c r="F4" s="4" t="inlineStr">
        <is>
          <t>Limerick</t>
        </is>
      </c>
      <c r="G4" s="4" t="inlineStr">
        <is>
          <t>Site Visit</t>
        </is>
      </c>
      <c r="H4" s="5" t="inlineStr">
        <is>
          <t>Car</t>
        </is>
      </c>
      <c r="I4" s="5" t="n">
        <v>1200</v>
      </c>
      <c r="J4" s="5" t="n">
        <v>99</v>
      </c>
      <c r="K4" s="5" t="inlineStr">
        <is>
          <t>Yes</t>
        </is>
      </c>
      <c r="L4" s="10">
        <f>IF(K4="Yes",J4*2,J4)</f>
        <v/>
      </c>
      <c r="M4" s="10">
        <f>IFERROR(VLOOKUP(I4,Summary!$B$5:$D$9,3,TRUE),0)</f>
        <v/>
      </c>
      <c r="N4" s="11">
        <f>L4*M4</f>
        <v/>
      </c>
      <c r="O4" s="12" t="inlineStr">
        <is>
          <t>No</t>
        </is>
      </c>
      <c r="P4" s="5" t="inlineStr">
        <is>
          <t>Approved</t>
        </is>
      </c>
      <c r="Q4" s="4" t="inlineStr">
        <is>
          <t>M. Brennan</t>
        </is>
      </c>
      <c r="R4" s="4" t="inlineStr">
        <is>
          <t>Project site inspection</t>
        </is>
      </c>
      <c r="S4" s="9">
        <f>IF(L4&gt;500,"Check","")</f>
        <v/>
      </c>
    </row>
    <row r="5">
      <c r="A5" s="3" t="inlineStr">
        <is>
          <t>05/06/2026</t>
        </is>
      </c>
      <c r="B5" s="4" t="inlineStr">
        <is>
          <t>Niamh Byrne</t>
        </is>
      </c>
      <c r="C5" s="4" t="inlineStr">
        <is>
          <t>Legal Services</t>
        </is>
      </c>
      <c r="D5" s="4" t="inlineStr">
        <is>
          <t>Waterford</t>
        </is>
      </c>
      <c r="E5" s="4" t="inlineStr">
        <is>
          <t>Kilkenny</t>
        </is>
      </c>
      <c r="F5" s="4" t="inlineStr">
        <is>
          <t>Kilkenny</t>
        </is>
      </c>
      <c r="G5" s="4" t="inlineStr">
        <is>
          <t>Training Course</t>
        </is>
      </c>
      <c r="H5" s="5" t="inlineStr">
        <is>
          <t>Car</t>
        </is>
      </c>
      <c r="I5" s="5" t="n">
        <v>1600</v>
      </c>
      <c r="J5" s="5" t="n">
        <v>46</v>
      </c>
      <c r="K5" s="5" t="inlineStr">
        <is>
          <t>No</t>
        </is>
      </c>
      <c r="L5" s="6">
        <f>IF(K5="Yes",J5*2,J5)</f>
        <v/>
      </c>
      <c r="M5" s="6">
        <f>IFERROR(VLOOKUP(I5,Summary!$B$5:$D$9,3,TRUE),0)</f>
        <v/>
      </c>
      <c r="N5" s="7">
        <f>L5*M5</f>
        <v/>
      </c>
      <c r="O5" s="8" t="inlineStr">
        <is>
          <t>No</t>
        </is>
      </c>
      <c r="P5" s="5" t="inlineStr">
        <is>
          <t>Approved</t>
        </is>
      </c>
      <c r="Q5" s="4" t="inlineStr">
        <is>
          <t>P. Quigley</t>
        </is>
      </c>
      <c r="R5" s="4" t="inlineStr">
        <is>
          <t>Data protection training</t>
        </is>
      </c>
      <c r="S5" s="9">
        <f>IF(L5&gt;500,"Check","")</f>
        <v/>
      </c>
    </row>
    <row r="6">
      <c r="A6" s="3" t="inlineStr">
        <is>
          <t>10/06/2026</t>
        </is>
      </c>
      <c r="B6" s="4" t="inlineStr">
        <is>
          <t>Cian Kelly</t>
        </is>
      </c>
      <c r="C6" s="4" t="inlineStr">
        <is>
          <t>Policy &amp; Research</t>
        </is>
      </c>
      <c r="D6" s="4" t="inlineStr">
        <is>
          <t>Sligo</t>
        </is>
      </c>
      <c r="E6" s="4" t="inlineStr">
        <is>
          <t>Dublin</t>
        </is>
      </c>
      <c r="F6" s="4" t="inlineStr">
        <is>
          <t>Dublin</t>
        </is>
      </c>
      <c r="G6" s="4" t="inlineStr">
        <is>
          <t>Departmental Meeting</t>
        </is>
      </c>
      <c r="H6" s="5" t="inlineStr">
        <is>
          <t>Car</t>
        </is>
      </c>
      <c r="I6" s="5" t="n">
        <v>1200</v>
      </c>
      <c r="J6" s="5" t="n">
        <v>213</v>
      </c>
      <c r="K6" s="5" t="inlineStr">
        <is>
          <t>Yes</t>
        </is>
      </c>
      <c r="L6" s="10">
        <f>IF(K6="Yes",J6*2,J6)</f>
        <v/>
      </c>
      <c r="M6" s="10">
        <f>IFERROR(VLOOKUP(I6,Summary!$B$5:$D$9,3,TRUE),0)</f>
        <v/>
      </c>
      <c r="N6" s="11">
        <f>L6*M6</f>
        <v/>
      </c>
      <c r="O6" s="12" t="inlineStr">
        <is>
          <t>No</t>
        </is>
      </c>
      <c r="P6" s="5" t="inlineStr">
        <is>
          <t>Pending</t>
        </is>
      </c>
      <c r="Q6" s="4" t="inlineStr">
        <is>
          <t>R. Fitzgibbon</t>
        </is>
      </c>
      <c r="R6" s="4" t="inlineStr">
        <is>
          <t>Budget review</t>
        </is>
      </c>
      <c r="S6" s="9">
        <f>IF(L6&gt;500,"Check","")</f>
        <v/>
      </c>
    </row>
    <row r="7">
      <c r="A7" s="3" t="inlineStr">
        <is>
          <t>12/06/2026</t>
        </is>
      </c>
      <c r="B7" s="4" t="inlineStr">
        <is>
          <t>Saoirse Walsh</t>
        </is>
      </c>
      <c r="C7" s="4" t="inlineStr">
        <is>
          <t>Inspections</t>
        </is>
      </c>
      <c r="D7" s="4" t="inlineStr">
        <is>
          <t>Drogheda</t>
        </is>
      </c>
      <c r="E7" s="4" t="inlineStr">
        <is>
          <t>Dublin</t>
        </is>
      </c>
      <c r="F7" s="4" t="inlineStr">
        <is>
          <t>Dublin</t>
        </is>
      </c>
      <c r="G7" s="4" t="inlineStr">
        <is>
          <t>Court / Office Attendance</t>
        </is>
      </c>
      <c r="H7" s="5" t="inlineStr">
        <is>
          <t>Car</t>
        </is>
      </c>
      <c r="I7" s="5" t="n">
        <v>1400</v>
      </c>
      <c r="J7" s="5" t="n">
        <v>50</v>
      </c>
      <c r="K7" s="5" t="inlineStr">
        <is>
          <t>Yes</t>
        </is>
      </c>
      <c r="L7" s="6">
        <f>IF(K7="Yes",J7*2,J7)</f>
        <v/>
      </c>
      <c r="M7" s="6">
        <f>IFERROR(VLOOKUP(I7,Summary!$B$5:$D$9,3,TRUE),0)</f>
        <v/>
      </c>
      <c r="N7" s="7">
        <f>L7*M7</f>
        <v/>
      </c>
      <c r="O7" s="8" t="inlineStr">
        <is>
          <t>No</t>
        </is>
      </c>
      <c r="P7" s="5" t="inlineStr">
        <is>
          <t>Approved</t>
        </is>
      </c>
      <c r="Q7" s="4" t="inlineStr">
        <is>
          <t>D. Lynch</t>
        </is>
      </c>
      <c r="R7" s="4" t="inlineStr">
        <is>
          <t>District court attendance</t>
        </is>
      </c>
      <c r="S7" s="9">
        <f>IF(L7&gt;500,"Check","")</f>
        <v/>
      </c>
    </row>
    <row r="8">
      <c r="A8" s="3" t="inlineStr">
        <is>
          <t>15/06/2026</t>
        </is>
      </c>
      <c r="B8" s="4" t="inlineStr">
        <is>
          <t>Conor Byrne</t>
        </is>
      </c>
      <c r="C8" s="4" t="inlineStr">
        <is>
          <t>Enforcement</t>
        </is>
      </c>
      <c r="D8" s="4" t="inlineStr">
        <is>
          <t>Wexford</t>
        </is>
      </c>
      <c r="E8" s="4" t="inlineStr">
        <is>
          <t>Waterford</t>
        </is>
      </c>
      <c r="F8" s="4" t="inlineStr">
        <is>
          <t>Waterford</t>
        </is>
      </c>
      <c r="G8" s="4" t="inlineStr">
        <is>
          <t>Inspection Visit</t>
        </is>
      </c>
      <c r="H8" s="5" t="inlineStr">
        <is>
          <t>Car</t>
        </is>
      </c>
      <c r="I8" s="5" t="n">
        <v>1600</v>
      </c>
      <c r="J8" s="5" t="n">
        <v>60</v>
      </c>
      <c r="K8" s="5" t="inlineStr">
        <is>
          <t>Yes</t>
        </is>
      </c>
      <c r="L8" s="10">
        <f>IF(K8="Yes",J8*2,J8)</f>
        <v/>
      </c>
      <c r="M8" s="10">
        <f>IFERROR(VLOOKUP(I8,Summary!$B$5:$D$9,3,TRUE),0)</f>
        <v/>
      </c>
      <c r="N8" s="11">
        <f>L8*M8</f>
        <v/>
      </c>
      <c r="O8" s="12" t="inlineStr">
        <is>
          <t>No</t>
        </is>
      </c>
      <c r="P8" s="5" t="inlineStr">
        <is>
          <t>Pending</t>
        </is>
      </c>
      <c r="Q8" s="4" t="inlineStr">
        <is>
          <t>M. Brennan</t>
        </is>
      </c>
      <c r="R8" s="4" t="inlineStr">
        <is>
          <t>Routine premises inspection</t>
        </is>
      </c>
      <c r="S8" s="9">
        <f>IF(L8&gt;500,"Check","")</f>
        <v/>
      </c>
    </row>
    <row r="9">
      <c r="A9" s="3" t="inlineStr">
        <is>
          <t>18/06/2026</t>
        </is>
      </c>
      <c r="B9" s="4" t="inlineStr">
        <is>
          <t>Ciara Healy</t>
        </is>
      </c>
      <c r="C9" s="4" t="inlineStr">
        <is>
          <t>Compliance</t>
        </is>
      </c>
      <c r="D9" s="4" t="inlineStr">
        <is>
          <t>Dublin</t>
        </is>
      </c>
      <c r="E9" s="4" t="inlineStr">
        <is>
          <t>Galway</t>
        </is>
      </c>
      <c r="F9" s="4" t="inlineStr">
        <is>
          <t>Galway</t>
        </is>
      </c>
      <c r="G9" s="4" t="inlineStr">
        <is>
          <t>Compliance Audit</t>
        </is>
      </c>
      <c r="H9" s="5" t="inlineStr">
        <is>
          <t>Car</t>
        </is>
      </c>
      <c r="I9" s="5" t="n">
        <v>1200</v>
      </c>
      <c r="J9" s="5" t="n">
        <v>211</v>
      </c>
      <c r="K9" s="5" t="inlineStr">
        <is>
          <t>No</t>
        </is>
      </c>
      <c r="L9" s="6">
        <f>IF(K9="Yes",J9*2,J9)</f>
        <v/>
      </c>
      <c r="M9" s="6">
        <f>IFERROR(VLOOKUP(I9,Summary!$B$5:$D$9,3,TRUE),0)</f>
        <v/>
      </c>
      <c r="N9" s="7">
        <f>L9*M9</f>
        <v/>
      </c>
      <c r="O9" s="8" t="inlineStr">
        <is>
          <t>No</t>
        </is>
      </c>
      <c r="P9" s="5" t="inlineStr">
        <is>
          <t>Query</t>
        </is>
      </c>
      <c r="Q9" s="4" t="inlineStr">
        <is>
          <t>P. Quigley</t>
        </is>
      </c>
      <c r="R9" s="4" t="inlineStr">
        <is>
          <t>Unannounced audit – query mileage</t>
        </is>
      </c>
      <c r="S9" s="9">
        <f>IF(L9&gt;500,"Check","")</f>
        <v/>
      </c>
    </row>
    <row r="10">
      <c r="A10" s="3" t="inlineStr">
        <is>
          <t>22/06/2026</t>
        </is>
      </c>
      <c r="B10" s="4" t="inlineStr">
        <is>
          <t>Oisín Nolan</t>
        </is>
      </c>
      <c r="C10" s="4" t="inlineStr">
        <is>
          <t>IT &amp; Systems</t>
        </is>
      </c>
      <c r="D10" s="4" t="inlineStr">
        <is>
          <t>Dublin</t>
        </is>
      </c>
      <c r="E10" s="4" t="inlineStr">
        <is>
          <t>Limerick</t>
        </is>
      </c>
      <c r="F10" s="4" t="inlineStr">
        <is>
          <t>Limerick</t>
        </is>
      </c>
      <c r="G10" s="4" t="inlineStr">
        <is>
          <t>Systems Implementation</t>
        </is>
      </c>
      <c r="H10" s="5" t="inlineStr">
        <is>
          <t>Car</t>
        </is>
      </c>
      <c r="I10" s="5" t="n">
        <v>1400</v>
      </c>
      <c r="J10" s="5" t="n">
        <v>196</v>
      </c>
      <c r="K10" s="5" t="inlineStr">
        <is>
          <t>Yes</t>
        </is>
      </c>
      <c r="L10" s="10">
        <f>IF(K10="Yes",J10*2,J10)</f>
        <v/>
      </c>
      <c r="M10" s="10">
        <f>IFERROR(VLOOKUP(I10,Summary!$B$5:$D$9,3,TRUE),0)</f>
        <v/>
      </c>
      <c r="N10" s="11">
        <f>L10*M10</f>
        <v/>
      </c>
      <c r="O10" s="12" t="inlineStr">
        <is>
          <t>No</t>
        </is>
      </c>
      <c r="P10" s="5" t="inlineStr">
        <is>
          <t>Approved</t>
        </is>
      </c>
      <c r="Q10" s="4" t="inlineStr">
        <is>
          <t>R. Fitzgibbon</t>
        </is>
      </c>
      <c r="R10" s="4" t="inlineStr">
        <is>
          <t>Server migration support</t>
        </is>
      </c>
      <c r="S10" s="9">
        <f>IF(L10&gt;500,"Check","")</f>
        <v/>
      </c>
    </row>
    <row r="11">
      <c r="A11" s="3" t="inlineStr">
        <is>
          <t>25/06/2026</t>
        </is>
      </c>
      <c r="B11" s="4" t="inlineStr">
        <is>
          <t>Róisín Maher</t>
        </is>
      </c>
      <c r="C11" s="4" t="inlineStr">
        <is>
          <t>Customer Services</t>
        </is>
      </c>
      <c r="D11" s="4" t="inlineStr">
        <is>
          <t>Cork</t>
        </is>
      </c>
      <c r="E11" s="4" t="inlineStr">
        <is>
          <t>Kilkenny</t>
        </is>
      </c>
      <c r="F11" s="4" t="inlineStr">
        <is>
          <t>Kilkenny</t>
        </is>
      </c>
      <c r="G11" s="4" t="inlineStr">
        <is>
          <t>Customer Engagement Event</t>
        </is>
      </c>
      <c r="H11" s="5" t="inlineStr">
        <is>
          <t>Car</t>
        </is>
      </c>
      <c r="I11" s="5" t="n">
        <v>1600</v>
      </c>
      <c r="J11" s="5" t="n">
        <v>126</v>
      </c>
      <c r="K11" s="5" t="inlineStr">
        <is>
          <t>Yes</t>
        </is>
      </c>
      <c r="L11" s="6">
        <f>IF(K11="Yes",J11*2,J11)</f>
        <v/>
      </c>
      <c r="M11" s="6">
        <f>IFERROR(VLOOKUP(I11,Summary!$B$5:$D$9,3,TRUE),0)</f>
        <v/>
      </c>
      <c r="N11" s="7">
        <f>L11*M11</f>
        <v/>
      </c>
      <c r="O11" s="8" t="inlineStr">
        <is>
          <t>No</t>
        </is>
      </c>
      <c r="P11" s="5" t="inlineStr">
        <is>
          <t>Pending</t>
        </is>
      </c>
      <c r="Q11" s="4" t="inlineStr">
        <is>
          <t>D. Lynch</t>
        </is>
      </c>
      <c r="R11" s="4" t="inlineStr">
        <is>
          <t>Regional customer event</t>
        </is>
      </c>
      <c r="S11" s="9">
        <f>IF(L11&gt;500,"Check","")</f>
        <v/>
      </c>
    </row>
  </sheetData>
  <autoFilter ref="A2:S11"/>
  <mergeCells count="1">
    <mergeCell ref="A1:R1"/>
  </mergeCells>
  <dataValidations count="3">
    <dataValidation sqref="K3:K50" showErrorMessage="1" showInputMessage="1" allowBlank="1" type="list">
      <formula1>"Yes,No"</formula1>
    </dataValidation>
    <dataValidation sqref="O3:O50" showErrorMessage="1" showInputMessage="1" allowBlank="1" type="list">
      <formula1>"Yes,No"</formula1>
    </dataValidation>
    <dataValidation sqref="P3:P50" showErrorMessage="1" showInputMessage="1" allowBlank="1" type="list">
      <formula1>"Approved,Pending,Query"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2" customHeight="1">
      <c r="A1" s="1" t="inlineStr">
        <is>
          <t>Summary – Revenue Mileage Claim Log (Civil Service Rates)</t>
        </is>
      </c>
    </row>
    <row r="2">
      <c r="A2" s="13" t="inlineStr">
        <is>
          <t>KPI Dashboard</t>
        </is>
      </c>
      <c r="B2" s="14" t="n"/>
    </row>
    <row r="3">
      <c r="A3" s="15" t="inlineStr">
        <is>
          <t>Total Journeys</t>
        </is>
      </c>
      <c r="B3" s="16">
        <f>COUNTA('Mileage Log'!B3:B50)</f>
        <v/>
      </c>
    </row>
    <row r="4">
      <c r="A4" s="17" t="inlineStr">
        <is>
          <t>Total Claim Amount (€)</t>
        </is>
      </c>
      <c r="B4" s="18">
        <f>SUM('Mileage Log'!N:N)</f>
        <v/>
      </c>
    </row>
    <row r="5">
      <c r="A5" s="15" t="inlineStr">
        <is>
          <t>Average Claim per Journey (€)</t>
        </is>
      </c>
      <c r="B5" s="18">
        <f>IFERROR(AVERAGE('Mileage Log'!N3:N50),0)</f>
        <v/>
      </c>
    </row>
    <row r="6">
      <c r="A6" s="17" t="inlineStr">
        <is>
          <t>Average Distance (km)</t>
        </is>
      </c>
      <c r="B6" s="19">
        <f>IFERROR(AVERAGE('Mileage Log'!L3:L50),0)</f>
        <v/>
      </c>
    </row>
    <row r="7">
      <c r="A7" s="15" t="inlineStr">
        <is>
          <t>Highest Single Claim (€)</t>
        </is>
      </c>
      <c r="B7" s="18">
        <f>IFERROR(MAX('Mileage Log'!N3:N50),0)</f>
        <v/>
      </c>
    </row>
    <row r="8">
      <c r="A8" s="17" t="inlineStr">
        <is>
          <t>Claims Approved</t>
        </is>
      </c>
      <c r="B8" s="16">
        <f>COUNTIF('Mileage Log'!P:P,"Approved")</f>
        <v/>
      </c>
    </row>
    <row r="9">
      <c r="A9" s="15" t="inlineStr">
        <is>
          <t>Claims Pending</t>
        </is>
      </c>
      <c r="B9" s="16">
        <f>COUNTIF('Mileage Log'!P:P,"Pending")</f>
        <v/>
      </c>
    </row>
    <row r="10">
      <c r="A10" s="17" t="inlineStr">
        <is>
          <t>Claims with Query</t>
        </is>
      </c>
      <c r="B10" s="16">
        <f>COUNTIF('Mileage Log'!P:P,"Query")</f>
        <v/>
      </c>
    </row>
    <row r="11">
      <c r="A11" s="15" t="inlineStr">
        <is>
          <t>% Approved</t>
        </is>
      </c>
      <c r="B11" s="20">
        <f>IFERROR(COUNTIF('Mileage Log'!P:P,"Approved")/COUNTA('Mileage Log'!P3:P50),0)</f>
        <v/>
      </c>
    </row>
    <row r="12"/>
    <row r="13">
      <c r="A13" s="13" t="inlineStr">
        <is>
          <t>Civil Service / Revenue Mileage Rate Table</t>
        </is>
      </c>
      <c r="B13" s="14" t="n"/>
      <c r="C13" s="14" t="n"/>
      <c r="D13" s="14" t="n"/>
    </row>
    <row r="14">
      <c r="A14" s="21" t="inlineStr">
        <is>
          <t>Engine Size (CC)</t>
        </is>
      </c>
      <c r="B14" s="21" t="inlineStr">
        <is>
          <t>Description</t>
        </is>
      </c>
      <c r="C14" s="21" t="inlineStr">
        <is>
          <t>Rate per Km (€)</t>
        </is>
      </c>
    </row>
    <row r="15">
      <c r="A15" s="22" t="n">
        <v>0</v>
      </c>
      <c r="B15" s="23" t="inlineStr">
        <is>
          <t>Up to 1200 cc</t>
        </is>
      </c>
      <c r="C15" s="24" t="n">
        <v>0.2157</v>
      </c>
    </row>
    <row r="16">
      <c r="A16" s="25" t="n">
        <v>1201</v>
      </c>
      <c r="B16" s="26" t="inlineStr">
        <is>
          <t>1201 – 1400 cc</t>
        </is>
      </c>
      <c r="C16" s="24" t="n">
        <v>0.2393</v>
      </c>
    </row>
    <row r="17">
      <c r="A17" s="22" t="n">
        <v>1401</v>
      </c>
      <c r="B17" s="23" t="inlineStr">
        <is>
          <t>1401 – 1600 cc</t>
        </is>
      </c>
      <c r="C17" s="24" t="n">
        <v>0.2826</v>
      </c>
    </row>
    <row r="18">
      <c r="A18" s="25" t="n">
        <v>1601</v>
      </c>
      <c r="B18" s="26" t="inlineStr">
        <is>
          <t>Over 1600 cc</t>
        </is>
      </c>
      <c r="C18" s="24" t="n">
        <v>0.316</v>
      </c>
    </row>
    <row r="19">
      <c r="A19" s="22" t="n">
        <v>9999</v>
      </c>
      <c r="B19" s="23" t="inlineStr">
        <is>
          <t>Electric / Other</t>
        </is>
      </c>
      <c r="C19" s="24" t="n">
        <v>0.2157</v>
      </c>
    </row>
    <row r="20"/>
    <row r="21"/>
    <row r="22"/>
    <row r="23"/>
    <row r="24"/>
    <row r="25">
      <c r="A25" s="13" t="inlineStr">
        <is>
          <t>Monthly Summary</t>
        </is>
      </c>
      <c r="B25" s="14" t="n"/>
      <c r="C25" s="14" t="n"/>
      <c r="D25" s="14" t="n"/>
      <c r="E25" s="14" t="n"/>
      <c r="F25" s="14" t="n"/>
    </row>
    <row r="26">
      <c r="A26" s="21" t="inlineStr">
        <is>
          <t>Month</t>
        </is>
      </c>
      <c r="B26" s="21" t="inlineStr">
        <is>
          <t>Total Journeys</t>
        </is>
      </c>
      <c r="C26" s="21" t="inlineStr">
        <is>
          <t>Total Km</t>
        </is>
      </c>
      <c r="D26" s="21" t="inlineStr">
        <is>
          <t>Total Claim (€)</t>
        </is>
      </c>
      <c r="E26" s="21" t="inlineStr">
        <is>
          <t>Average Claim (€)</t>
        </is>
      </c>
      <c r="F26" s="21" t="inlineStr">
        <is>
          <t>% of Total Claim</t>
        </is>
      </c>
    </row>
    <row r="27">
      <c r="A27" s="41" t="n">
        <v>46023</v>
      </c>
      <c r="B27" s="22">
        <f>COUNTIFS('Mileage Log'!$A:$A,"&gt;="&amp;DATE(2026,1,1),'Mileage Log'!$A:$A,"&lt;"&amp;DATE(2026,2,1))</f>
        <v/>
      </c>
      <c r="C27" s="28">
        <f>SUMIFS('Mileage Log'!$L:$L,'Mileage Log'!$A:$A,"&gt;="&amp;DATE(2026,1,1),'Mileage Log'!$A:$A,"&lt;"&amp;DATE(2026,2,1))</f>
        <v/>
      </c>
      <c r="D27" s="29">
        <f>SUMIFS('Mileage Log'!$N:$N,'Mileage Log'!$A:$A,"&gt;="&amp;DATE(2026,1,1),'Mileage Log'!$A:$A,"&lt;"&amp;DATE(2026,2,1))</f>
        <v/>
      </c>
      <c r="E27" s="29">
        <f>IFERROR(D27/B27,0)</f>
        <v/>
      </c>
      <c r="F27" s="30">
        <f>IFERROR(D27/SUM(D27:D38),0)</f>
        <v/>
      </c>
    </row>
    <row r="28">
      <c r="A28" s="42" t="n">
        <v>46054</v>
      </c>
      <c r="B28" s="25">
        <f>COUNTIFS('Mileage Log'!$A:$A,"&gt;="&amp;DATE(2026,2,1),'Mileage Log'!$A:$A,"&lt;"&amp;DATE(2026,3,1))</f>
        <v/>
      </c>
      <c r="C28" s="32">
        <f>SUMIFS('Mileage Log'!$L:$L,'Mileage Log'!$A:$A,"&gt;="&amp;DATE(2026,2,1),'Mileage Log'!$A:$A,"&lt;"&amp;DATE(2026,3,1))</f>
        <v/>
      </c>
      <c r="D28" s="33">
        <f>SUMIFS('Mileage Log'!$N:$N,'Mileage Log'!$A:$A,"&gt;="&amp;DATE(2026,2,1),'Mileage Log'!$A:$A,"&lt;"&amp;DATE(2026,3,1))</f>
        <v/>
      </c>
      <c r="E28" s="33">
        <f>IFERROR(D28/B28,0)</f>
        <v/>
      </c>
      <c r="F28" s="34">
        <f>IFERROR(D28/SUM(D27:D38),0)</f>
        <v/>
      </c>
    </row>
    <row r="29">
      <c r="A29" s="41" t="n">
        <v>46082</v>
      </c>
      <c r="B29" s="22">
        <f>COUNTIFS('Mileage Log'!$A:$A,"&gt;="&amp;DATE(2026,3,1),'Mileage Log'!$A:$A,"&lt;"&amp;DATE(2026,4,1))</f>
        <v/>
      </c>
      <c r="C29" s="28">
        <f>SUMIFS('Mileage Log'!$L:$L,'Mileage Log'!$A:$A,"&gt;="&amp;DATE(2026,3,1),'Mileage Log'!$A:$A,"&lt;"&amp;DATE(2026,4,1))</f>
        <v/>
      </c>
      <c r="D29" s="29">
        <f>SUMIFS('Mileage Log'!$N:$N,'Mileage Log'!$A:$A,"&gt;="&amp;DATE(2026,3,1),'Mileage Log'!$A:$A,"&lt;"&amp;DATE(2026,4,1))</f>
        <v/>
      </c>
      <c r="E29" s="29">
        <f>IFERROR(D29/B29,0)</f>
        <v/>
      </c>
      <c r="F29" s="30">
        <f>IFERROR(D29/SUM(D27:D38),0)</f>
        <v/>
      </c>
    </row>
    <row r="30">
      <c r="A30" s="42" t="n">
        <v>46113</v>
      </c>
      <c r="B30" s="25">
        <f>COUNTIFS('Mileage Log'!$A:$A,"&gt;="&amp;DATE(2026,4,1),'Mileage Log'!$A:$A,"&lt;"&amp;DATE(2026,5,1))</f>
        <v/>
      </c>
      <c r="C30" s="32">
        <f>SUMIFS('Mileage Log'!$L:$L,'Mileage Log'!$A:$A,"&gt;="&amp;DATE(2026,4,1),'Mileage Log'!$A:$A,"&lt;"&amp;DATE(2026,5,1))</f>
        <v/>
      </c>
      <c r="D30" s="33">
        <f>SUMIFS('Mileage Log'!$N:$N,'Mileage Log'!$A:$A,"&gt;="&amp;DATE(2026,4,1),'Mileage Log'!$A:$A,"&lt;"&amp;DATE(2026,5,1))</f>
        <v/>
      </c>
      <c r="E30" s="33">
        <f>IFERROR(D30/B30,0)</f>
        <v/>
      </c>
      <c r="F30" s="34">
        <f>IFERROR(D30/SUM(D27:D38),0)</f>
        <v/>
      </c>
    </row>
    <row r="31">
      <c r="A31" s="41" t="n">
        <v>46143</v>
      </c>
      <c r="B31" s="22">
        <f>COUNTIFS('Mileage Log'!$A:$A,"&gt;="&amp;DATE(2026,5,1),'Mileage Log'!$A:$A,"&lt;"&amp;DATE(2026,6,1))</f>
        <v/>
      </c>
      <c r="C31" s="28">
        <f>SUMIFS('Mileage Log'!$L:$L,'Mileage Log'!$A:$A,"&gt;="&amp;DATE(2026,5,1),'Mileage Log'!$A:$A,"&lt;"&amp;DATE(2026,6,1))</f>
        <v/>
      </c>
      <c r="D31" s="29">
        <f>SUMIFS('Mileage Log'!$N:$N,'Mileage Log'!$A:$A,"&gt;="&amp;DATE(2026,5,1),'Mileage Log'!$A:$A,"&lt;"&amp;DATE(2026,6,1))</f>
        <v/>
      </c>
      <c r="E31" s="29">
        <f>IFERROR(D31/B31,0)</f>
        <v/>
      </c>
      <c r="F31" s="30">
        <f>IFERROR(D31/SUM(D27:D38),0)</f>
        <v/>
      </c>
    </row>
    <row r="32">
      <c r="A32" s="42" t="n">
        <v>46174</v>
      </c>
      <c r="B32" s="25">
        <f>COUNTIFS('Mileage Log'!$A:$A,"&gt;="&amp;DATE(2026,6,1),'Mileage Log'!$A:$A,"&lt;"&amp;DATE(2026,7,1))</f>
        <v/>
      </c>
      <c r="C32" s="32">
        <f>SUMIFS('Mileage Log'!$L:$L,'Mileage Log'!$A:$A,"&gt;="&amp;DATE(2026,6,1),'Mileage Log'!$A:$A,"&lt;"&amp;DATE(2026,7,1))</f>
        <v/>
      </c>
      <c r="D32" s="33">
        <f>SUMIFS('Mileage Log'!$N:$N,'Mileage Log'!$A:$A,"&gt;="&amp;DATE(2026,6,1),'Mileage Log'!$A:$A,"&lt;"&amp;DATE(2026,7,1))</f>
        <v/>
      </c>
      <c r="E32" s="33">
        <f>IFERROR(D32/B32,0)</f>
        <v/>
      </c>
      <c r="F32" s="34">
        <f>IFERROR(D32/SUM(D27:D38),0)</f>
        <v/>
      </c>
    </row>
    <row r="33">
      <c r="A33" s="41" t="n">
        <v>46204</v>
      </c>
      <c r="B33" s="22">
        <f>COUNTIFS('Mileage Log'!$A:$A,"&gt;="&amp;DATE(2026,7,1),'Mileage Log'!$A:$A,"&lt;"&amp;DATE(2026,8,1))</f>
        <v/>
      </c>
      <c r="C33" s="28">
        <f>SUMIFS('Mileage Log'!$L:$L,'Mileage Log'!$A:$A,"&gt;="&amp;DATE(2026,7,1),'Mileage Log'!$A:$A,"&lt;"&amp;DATE(2026,8,1))</f>
        <v/>
      </c>
      <c r="D33" s="29">
        <f>SUMIFS('Mileage Log'!$N:$N,'Mileage Log'!$A:$A,"&gt;="&amp;DATE(2026,7,1),'Mileage Log'!$A:$A,"&lt;"&amp;DATE(2026,8,1))</f>
        <v/>
      </c>
      <c r="E33" s="29">
        <f>IFERROR(D33/B33,0)</f>
        <v/>
      </c>
      <c r="F33" s="30">
        <f>IFERROR(D33/SUM(D27:D38),0)</f>
        <v/>
      </c>
    </row>
    <row r="34">
      <c r="A34" s="42" t="n">
        <v>46235</v>
      </c>
      <c r="B34" s="25">
        <f>COUNTIFS('Mileage Log'!$A:$A,"&gt;="&amp;DATE(2026,8,1),'Mileage Log'!$A:$A,"&lt;"&amp;DATE(2026,9,1))</f>
        <v/>
      </c>
      <c r="C34" s="32">
        <f>SUMIFS('Mileage Log'!$L:$L,'Mileage Log'!$A:$A,"&gt;="&amp;DATE(2026,8,1),'Mileage Log'!$A:$A,"&lt;"&amp;DATE(2026,9,1))</f>
        <v/>
      </c>
      <c r="D34" s="33">
        <f>SUMIFS('Mileage Log'!$N:$N,'Mileage Log'!$A:$A,"&gt;="&amp;DATE(2026,8,1),'Mileage Log'!$A:$A,"&lt;"&amp;DATE(2026,9,1))</f>
        <v/>
      </c>
      <c r="E34" s="33">
        <f>IFERROR(D34/B34,0)</f>
        <v/>
      </c>
      <c r="F34" s="34">
        <f>IFERROR(D34/SUM(D27:D38),0)</f>
        <v/>
      </c>
    </row>
    <row r="35">
      <c r="A35" s="41" t="n">
        <v>46266</v>
      </c>
      <c r="B35" s="22">
        <f>COUNTIFS('Mileage Log'!$A:$A,"&gt;="&amp;DATE(2026,9,1),'Mileage Log'!$A:$A,"&lt;"&amp;DATE(2026,10,1))</f>
        <v/>
      </c>
      <c r="C35" s="28">
        <f>SUMIFS('Mileage Log'!$L:$L,'Mileage Log'!$A:$A,"&gt;="&amp;DATE(2026,9,1),'Mileage Log'!$A:$A,"&lt;"&amp;DATE(2026,10,1))</f>
        <v/>
      </c>
      <c r="D35" s="29">
        <f>SUMIFS('Mileage Log'!$N:$N,'Mileage Log'!$A:$A,"&gt;="&amp;DATE(2026,9,1),'Mileage Log'!$A:$A,"&lt;"&amp;DATE(2026,10,1))</f>
        <v/>
      </c>
      <c r="E35" s="29">
        <f>IFERROR(D35/B35,0)</f>
        <v/>
      </c>
      <c r="F35" s="30">
        <f>IFERROR(D35/SUM(D27:D38),0)</f>
        <v/>
      </c>
    </row>
    <row r="36">
      <c r="A36" s="42" t="n">
        <v>46296</v>
      </c>
      <c r="B36" s="25">
        <f>COUNTIFS('Mileage Log'!$A:$A,"&gt;="&amp;DATE(2026,10,1),'Mileage Log'!$A:$A,"&lt;"&amp;DATE(2026,11,1))</f>
        <v/>
      </c>
      <c r="C36" s="32">
        <f>SUMIFS('Mileage Log'!$L:$L,'Mileage Log'!$A:$A,"&gt;="&amp;DATE(2026,10,1),'Mileage Log'!$A:$A,"&lt;"&amp;DATE(2026,11,1))</f>
        <v/>
      </c>
      <c r="D36" s="33">
        <f>SUMIFS('Mileage Log'!$N:$N,'Mileage Log'!$A:$A,"&gt;="&amp;DATE(2026,10,1),'Mileage Log'!$A:$A,"&lt;"&amp;DATE(2026,11,1))</f>
        <v/>
      </c>
      <c r="E36" s="33">
        <f>IFERROR(D36/B36,0)</f>
        <v/>
      </c>
      <c r="F36" s="34">
        <f>IFERROR(D36/SUM(D27:D38),0)</f>
        <v/>
      </c>
    </row>
    <row r="37">
      <c r="A37" s="41" t="n">
        <v>46327</v>
      </c>
      <c r="B37" s="22">
        <f>COUNTIFS('Mileage Log'!$A:$A,"&gt;="&amp;DATE(2026,11,1),'Mileage Log'!$A:$A,"&lt;"&amp;DATE(2026,12,1))</f>
        <v/>
      </c>
      <c r="C37" s="28">
        <f>SUMIFS('Mileage Log'!$L:$L,'Mileage Log'!$A:$A,"&gt;="&amp;DATE(2026,11,1),'Mileage Log'!$A:$A,"&lt;"&amp;DATE(2026,12,1))</f>
        <v/>
      </c>
      <c r="D37" s="29">
        <f>SUMIFS('Mileage Log'!$N:$N,'Mileage Log'!$A:$A,"&gt;="&amp;DATE(2026,11,1),'Mileage Log'!$A:$A,"&lt;"&amp;DATE(2026,12,1))</f>
        <v/>
      </c>
      <c r="E37" s="29">
        <f>IFERROR(D37/B37,0)</f>
        <v/>
      </c>
      <c r="F37" s="30">
        <f>IFERROR(D37/SUM(D27:D38),0)</f>
        <v/>
      </c>
    </row>
    <row r="38">
      <c r="A38" s="42" t="n">
        <v>46357</v>
      </c>
      <c r="B38" s="25">
        <f>COUNTIFS('Mileage Log'!$A:$A,"&gt;="&amp;DATE(2026,12,1),'Mileage Log'!$A:$A,"&lt;"&amp;DATE(2027,1,1))</f>
        <v/>
      </c>
      <c r="C38" s="32">
        <f>SUMIFS('Mileage Log'!$L:$L,'Mileage Log'!$A:$A,"&gt;="&amp;DATE(2026,12,1),'Mileage Log'!$A:$A,"&lt;"&amp;DATE(2027,1,1))</f>
        <v/>
      </c>
      <c r="D38" s="33">
        <f>SUMIFS('Mileage Log'!$N:$N,'Mileage Log'!$A:$A,"&gt;="&amp;DATE(2026,12,1),'Mileage Log'!$A:$A,"&lt;"&amp;DATE(2027,1,1))</f>
        <v/>
      </c>
      <c r="E38" s="33">
        <f>IFERROR(D38/B38,0)</f>
        <v/>
      </c>
      <c r="F38" s="34">
        <f>IFERROR(D38/SUM(D27:D38),0)</f>
        <v/>
      </c>
    </row>
    <row r="39">
      <c r="A39" s="35" t="inlineStr">
        <is>
          <t>TOTAL</t>
        </is>
      </c>
      <c r="B39" s="36">
        <f>SUM(C27:C38)</f>
        <v/>
      </c>
      <c r="C39" s="37">
        <f>SUM(D27:D38)</f>
        <v/>
      </c>
      <c r="D39" s="37">
        <f>IFERROR(D39/B39,0)</f>
        <v/>
      </c>
      <c r="E39" s="43" t="inlineStr"/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8" customWidth="1" min="1" max="1"/>
    <col width="55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2" customHeight="1">
      <c r="A1" s="1" t="inlineStr">
        <is>
          <t>Revenue Mileage Claim Log – User Guide &amp; Instructions</t>
        </is>
      </c>
    </row>
    <row r="2"/>
    <row r="3">
      <c r="A3" s="39" t="inlineStr">
        <is>
          <t>Purpose of this Workbook</t>
        </is>
      </c>
      <c r="B3" s="40" t="n"/>
    </row>
    <row r="4" ht="28" customHeight="1">
      <c r="A4" s="17" t="inlineStr">
        <is>
          <t>Overview</t>
        </is>
      </c>
      <c r="B4" s="23" t="inlineStr">
        <is>
          <t>This workbook is designed for Irish Civil Service employees and public sector staff to log business mileage and calculate reimbursement at the current Revenue-approved Civil Service rates.</t>
        </is>
      </c>
    </row>
    <row r="5" ht="28" customHeight="1">
      <c r="A5" s="17" t="inlineStr">
        <is>
          <t>Compliance</t>
        </is>
      </c>
      <c r="B5" s="23" t="inlineStr">
        <is>
          <t>All mileage claims must align with your organisation's travel and subsistence policy and with Revenue guidance (Tax and Duty Manual Part 05-01-06).</t>
        </is>
      </c>
    </row>
    <row r="6"/>
    <row r="7">
      <c r="A7" s="39" t="inlineStr">
        <is>
          <t>How to Enter a Journey</t>
        </is>
      </c>
      <c r="B7" s="40" t="n"/>
    </row>
    <row r="8" ht="28" customHeight="1">
      <c r="A8" s="17" t="inlineStr">
        <is>
          <t>Step 1 – Date</t>
        </is>
      </c>
      <c r="B8" s="23" t="inlineStr">
        <is>
          <t>Enter the date of travel in DD/MM/YYYY format in column A.</t>
        </is>
      </c>
    </row>
    <row r="9" ht="28" customHeight="1">
      <c r="A9" s="17" t="inlineStr">
        <is>
          <t>Step 2 – Employee Details</t>
        </is>
      </c>
      <c r="B9" s="23" t="inlineStr">
        <is>
          <t>Enter your full name, department/section, start location, and destination.</t>
        </is>
      </c>
    </row>
    <row r="10" ht="28" customHeight="1">
      <c r="A10" s="17" t="inlineStr">
        <is>
          <t>Step 3 – Journey Purpose</t>
        </is>
      </c>
      <c r="B10" s="23" t="inlineStr">
        <is>
          <t>Describe the business purpose of the journey (e.g., 'Site Visit', 'Training', 'Court Attendance').</t>
        </is>
      </c>
    </row>
    <row r="11" ht="28" customHeight="1">
      <c r="A11" s="17" t="inlineStr">
        <is>
          <t>Step 4 – Vehicle &amp; Engine</t>
        </is>
      </c>
      <c r="B11" s="23" t="inlineStr">
        <is>
          <t>Select 'Car' as vehicle type and enter the engine size in cc (e.g., 1200, 1400, 1600). This drives the rate lookup.</t>
        </is>
      </c>
    </row>
    <row r="12" ht="28" customHeight="1">
      <c r="A12" s="17" t="inlineStr">
        <is>
          <t>Step 5 – Distance</t>
        </is>
      </c>
      <c r="B12" s="23" t="inlineStr">
        <is>
          <t>Enter the one-way distance in kilometres. The Total Claimable Km column will calculate automatically.</t>
        </is>
      </c>
    </row>
    <row r="13" ht="28" customHeight="1">
      <c r="A13" s="17" t="inlineStr">
        <is>
          <t>Step 6 – Return Trip</t>
        </is>
      </c>
      <c r="B13" s="23" t="inlineStr">
        <is>
          <t>Select 'Yes' if the journey was a return trip; the distance will be doubled automatically.</t>
        </is>
      </c>
    </row>
    <row r="14" ht="28" customHeight="1">
      <c r="A14" s="17" t="inlineStr">
        <is>
          <t>Step 7 – Approval</t>
        </is>
      </c>
      <c r="B14" s="23" t="inlineStr">
        <is>
          <t>Set Approval Status to 'Pending' until your line manager has reviewed the claim.</t>
        </is>
      </c>
    </row>
    <row r="15"/>
    <row r="16">
      <c r="A16" s="39" t="inlineStr">
        <is>
          <t>Rate Calculation</t>
        </is>
      </c>
      <c r="B16" s="40" t="n"/>
    </row>
    <row r="17" ht="28" customHeight="1">
      <c r="A17" s="17" t="inlineStr">
        <is>
          <t>Rate Lookup</t>
        </is>
      </c>
      <c r="B17" s="23" t="inlineStr">
        <is>
          <t>The 'Rate per Km' column uses VLOOKUP against the rate table on the Summary sheet. Rates are based on engine size (cc) as per Revenue Civil Service scales.</t>
        </is>
      </c>
    </row>
    <row r="18" ht="28" customHeight="1">
      <c r="A18" s="17" t="inlineStr">
        <is>
          <t>Current Rates (2026)</t>
        </is>
      </c>
      <c r="B18" s="23" t="inlineStr">
        <is>
          <t>Up to 1200 cc: €0.2157/km | 1201–1400 cc: €0.2393/km | 1401–1600 cc: €0.2826/km | Over 1600 cc: €0.3160/km.</t>
        </is>
      </c>
    </row>
    <row r="19" ht="28" customHeight="1">
      <c r="A19" s="17" t="inlineStr">
        <is>
          <t>Claim Amount</t>
        </is>
      </c>
      <c r="B19" s="23" t="inlineStr">
        <is>
          <t>Claim Amount € = Total Claimable Km × Rate per Km. No manual entry is needed.</t>
        </is>
      </c>
    </row>
    <row r="20" ht="28" customHeight="1">
      <c r="A20" s="17" t="inlineStr">
        <is>
          <t>VAT</t>
        </is>
      </c>
      <c r="B20" s="23" t="inlineStr">
        <is>
          <t>Mileage reimbursements are not subject to VAT. The 'VAT Inclusive?' column is for record-keeping only and should normally be set to 'No'.</t>
        </is>
      </c>
    </row>
    <row r="21"/>
    <row r="22">
      <c r="A22" s="39" t="inlineStr">
        <is>
          <t>Approval &amp; Supporting Documents</t>
        </is>
      </c>
      <c r="B22" s="40" t="n"/>
    </row>
    <row r="23" ht="28" customHeight="1">
      <c r="A23" s="17" t="inlineStr">
        <is>
          <t>Approval Status</t>
        </is>
      </c>
      <c r="B23" s="23" t="inlineStr">
        <is>
          <t>Set to 'Approved' once your manager has signed off. 'Query' indicates the claim requires clarification before payment.</t>
        </is>
      </c>
    </row>
    <row r="24" ht="28" customHeight="1">
      <c r="A24" s="17" t="inlineStr">
        <is>
          <t>Supporting Documents</t>
        </is>
      </c>
      <c r="B24" s="23" t="inlineStr">
        <is>
          <t>Retain supporting evidence for each journey (e.g., meeting confirmation, travel itinerary, court summons). Revenue may inspect claims.</t>
        </is>
      </c>
    </row>
    <row r="25" ht="28" customHeight="1">
      <c r="A25" s="17" t="inlineStr">
        <is>
          <t>Alert Column</t>
        </is>
      </c>
      <c r="B25" s="23" t="inlineStr">
        <is>
          <t>The 'Alert' column (column S) flags any journey exceeding 500 km as 'Check'. These claims should be reviewed before submission.</t>
        </is>
      </c>
    </row>
    <row r="26"/>
    <row r="27">
      <c r="A27" s="39" t="inlineStr">
        <is>
          <t>Summary Sheet</t>
        </is>
      </c>
      <c r="B27" s="40" t="n"/>
    </row>
    <row r="28" ht="28" customHeight="1">
      <c r="A28" s="17" t="inlineStr">
        <is>
          <t>KPI Dashboard</t>
        </is>
      </c>
      <c r="B28" s="23" t="inlineStr">
        <is>
          <t>Key totals and averages are shown at the top of the Summary sheet, drawing live data from the Mileage Log.</t>
        </is>
      </c>
    </row>
    <row r="29" ht="28" customHeight="1">
      <c r="A29" s="17" t="inlineStr">
        <is>
          <t>Rate Table</t>
        </is>
      </c>
      <c r="B29" s="23" t="inlineStr">
        <is>
          <t>The rate table on the Summary sheet (rows 15–19) drives the VLOOKUP for all rate calculations. Do not alter this table unless rates have been officially updated.</t>
        </is>
      </c>
    </row>
    <row r="30" ht="28" customHeight="1">
      <c r="A30" s="17" t="inlineStr">
        <is>
          <t>Monthly Summary</t>
        </is>
      </c>
      <c r="B30" s="23" t="inlineStr">
        <is>
          <t>The monthly breakdown shows total journeys, kilometres, and claim amounts per month for 2026.</t>
        </is>
      </c>
    </row>
    <row r="31" ht="28" customHeight="1">
      <c r="A31" s="17" t="inlineStr">
        <is>
          <t>Chart</t>
        </is>
      </c>
      <c r="B31" s="23" t="inlineStr">
        <is>
          <t>The column chart shows monthly total claims visually. This updates automatically as new rows are added to the Mileage Log.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2026-06-22T05:53:11Z</dcterms:created>
  <dcterms:modified xmlns:dcterms="http://purl.org/dc/terms/" xmlns:xsi="http://www.w3.org/2001/XMLSchema-instance" xsi:type="dcterms:W3CDTF">2026-06-22T05:53:11Z</dcterms:modified>
</cp:coreProperties>
</file>