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ice List" sheetId="1" state="visible" r:id="rId1"/>
    <sheet xmlns:r="http://schemas.openxmlformats.org/officeDocument/2006/relationships" name="Stocktake"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quot;€&quot;#,##0.00"/>
    <numFmt numFmtId="165" formatCode="0.0%"/>
    <numFmt numFmtId="166" formatCode="DD/MM/YYYY"/>
  </numFmts>
  <fonts count="4">
    <font>
      <name val="Calibri"/>
      <family val="2"/>
      <color theme="1"/>
      <sz val="11"/>
      <scheme val="minor"/>
    </font>
    <font>
      <name val="Calibri"/>
      <b val="1"/>
      <color rgb="000F766E"/>
      <sz val="16"/>
    </font>
    <font>
      <name val="Calibri"/>
      <b val="1"/>
      <color rgb="00FFFFFF"/>
      <sz val="11"/>
    </font>
    <font>
      <b val="1"/>
    </font>
  </fonts>
  <fills count="7">
    <fill>
      <patternFill/>
    </fill>
    <fill>
      <patternFill patternType="gray125"/>
    </fill>
    <fill>
      <patternFill patternType="solid">
        <fgColor rgb="000F766E"/>
      </patternFill>
    </fill>
    <fill>
      <patternFill patternType="solid">
        <fgColor rgb="00FFFFFF"/>
      </patternFill>
    </fill>
    <fill>
      <patternFill patternType="solid">
        <fgColor rgb="00F0FDFA"/>
      </patternFill>
    </fill>
    <fill>
      <patternFill patternType="solid">
        <fgColor rgb="00FFFBEB"/>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4">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3" borderId="1" applyAlignment="1" pivotButton="0" quotePrefix="0" xfId="0">
      <alignment horizontal="left" vertical="center"/>
    </xf>
    <xf numFmtId="0" fontId="0" fillId="3" borderId="1" applyAlignment="1" pivotButton="0" quotePrefix="0" xfId="0">
      <alignment horizontal="right"/>
    </xf>
    <xf numFmtId="164" fontId="0" fillId="3" borderId="1" applyAlignment="1" pivotButton="0" quotePrefix="0" xfId="0">
      <alignment horizontal="right"/>
    </xf>
    <xf numFmtId="0" fontId="0" fillId="4" borderId="1" applyAlignment="1" pivotButton="0" quotePrefix="0" xfId="0">
      <alignment horizontal="left" vertical="center"/>
    </xf>
    <xf numFmtId="0" fontId="0" fillId="4" borderId="1" applyAlignment="1" pivotButton="0" quotePrefix="0" xfId="0">
      <alignment horizontal="right"/>
    </xf>
    <xf numFmtId="164" fontId="0" fillId="4" borderId="1" applyAlignment="1" pivotButton="0" quotePrefix="0" xfId="0">
      <alignment horizontal="right"/>
    </xf>
    <xf numFmtId="4" fontId="0" fillId="5" borderId="1" applyAlignment="1" pivotButton="0" quotePrefix="0" xfId="0">
      <alignment horizontal="right"/>
    </xf>
    <xf numFmtId="4" fontId="0" fillId="3" borderId="1" applyAlignment="1" pivotButton="0" quotePrefix="0" xfId="0">
      <alignment horizontal="right"/>
    </xf>
    <xf numFmtId="165" fontId="0" fillId="3" borderId="1" applyAlignment="1" pivotButton="0" quotePrefix="0" xfId="0">
      <alignment horizontal="right"/>
    </xf>
    <xf numFmtId="0" fontId="0" fillId="3" borderId="1" applyAlignment="1" pivotButton="0" quotePrefix="0" xfId="0">
      <alignment horizontal="center"/>
    </xf>
    <xf numFmtId="0" fontId="0" fillId="5" borderId="1" applyAlignment="1" pivotButton="0" quotePrefix="0" xfId="0">
      <alignment horizontal="left" vertical="center"/>
    </xf>
    <xf numFmtId="166" fontId="0" fillId="5" borderId="1" applyAlignment="1" pivotButton="0" quotePrefix="0" xfId="0">
      <alignment horizontal="center"/>
    </xf>
    <xf numFmtId="4" fontId="0" fillId="4" borderId="1" applyAlignment="1" pivotButton="0" quotePrefix="0" xfId="0">
      <alignment horizontal="right"/>
    </xf>
    <xf numFmtId="165" fontId="0" fillId="4" borderId="1" applyAlignment="1" pivotButton="0" quotePrefix="0" xfId="0">
      <alignment horizontal="right"/>
    </xf>
    <xf numFmtId="0" fontId="0" fillId="4" borderId="1" applyAlignment="1" pivotButton="0" quotePrefix="0" xfId="0">
      <alignment horizontal="center"/>
    </xf>
    <xf numFmtId="0" fontId="0" fillId="0" borderId="1" pivotButton="0" quotePrefix="0" xfId="0"/>
    <xf numFmtId="0" fontId="3" fillId="0" borderId="1" pivotButton="0" quotePrefix="0" xfId="0"/>
    <xf numFmtId="4" fontId="3" fillId="0" borderId="1" pivotButton="0" quotePrefix="0" xfId="0"/>
    <xf numFmtId="164" fontId="3" fillId="0" borderId="1" pivotButton="0" quotePrefix="0" xfId="0"/>
    <xf numFmtId="165" fontId="3" fillId="0" borderId="1" pivotButton="0" quotePrefix="0" xfId="0"/>
    <xf numFmtId="0" fontId="2" fillId="6" borderId="1" applyAlignment="1" pivotButton="0" quotePrefix="0" xfId="0">
      <alignment horizontal="center" vertical="center" wrapText="1"/>
    </xf>
    <xf numFmtId="164" fontId="3" fillId="4" borderId="1" applyAlignment="1" pivotButton="0" quotePrefix="0" xfId="0">
      <alignment horizontal="right"/>
    </xf>
    <xf numFmtId="164" fontId="3" fillId="3" borderId="1" applyAlignment="1" pivotButton="0" quotePrefix="0" xfId="0">
      <alignment horizontal="right"/>
    </xf>
    <xf numFmtId="165" fontId="3" fillId="4" borderId="1" applyAlignment="1" pivotButton="0" quotePrefix="0" xfId="0">
      <alignment horizontal="right"/>
    </xf>
    <xf numFmtId="1" fontId="3" fillId="3" borderId="1" applyAlignment="1" pivotButton="0" quotePrefix="0" xfId="0">
      <alignment horizontal="right"/>
    </xf>
    <xf numFmtId="1" fontId="3" fillId="4" borderId="1" applyAlignment="1" pivotButton="0" quotePrefix="0" xfId="0">
      <alignment horizontal="right"/>
    </xf>
    <xf numFmtId="0" fontId="1" fillId="0" borderId="0" pivotButton="0" quotePrefix="0" xfId="0"/>
    <xf numFmtId="0" fontId="3" fillId="4" borderId="1" applyAlignment="1" pivotButton="0" quotePrefix="0" xfId="0">
      <alignment horizontal="left" vertical="top"/>
    </xf>
    <xf numFmtId="0" fontId="0" fillId="4" borderId="1" applyAlignment="1" pivotButton="0" quotePrefix="0" xfId="0">
      <alignment horizontal="left" vertical="top" wrapText="1"/>
    </xf>
    <xf numFmtId="0" fontId="3" fillId="3" borderId="1" applyAlignment="1" pivotButton="0" quotePrefix="0" xfId="0">
      <alignment horizontal="left" vertical="top"/>
    </xf>
    <xf numFmtId="0" fontId="0" fillId="3" borderId="1" applyAlignment="1" pivotButton="0" quotePrefix="0" xfId="0">
      <alignment horizontal="left" vertical="top" wrapText="1"/>
    </xf>
  </cellXfs>
  <cellStyles count="1">
    <cellStyle name="Normal" xfId="0" builtinId="0" hidden="0"/>
  </cellStyles>
  <dxfs count="4">
    <dxf>
      <font>
        <b val="1"/>
        <color rgb="00FFFFFF"/>
      </font>
      <fill>
        <patternFill patternType="solid">
          <fgColor rgb="00DC2626"/>
        </patternFill>
      </fill>
    </dxf>
    <dxf>
      <font>
        <b val="1"/>
        <color rgb="00FFFFFF"/>
      </font>
      <fill>
        <patternFill patternType="solid">
          <fgColor rgb="0022C55E"/>
        </patternFill>
      </fill>
    </dxf>
    <dxf>
      <font>
        <b val="1"/>
        <color rgb="00DC2626"/>
      </font>
    </dxf>
    <dxf>
      <font>
        <b val="1"/>
        <color rgb="0022C55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Variance Value by Category (€)</a:t>
            </a:r>
          </a:p>
        </rich>
      </tx>
    </title>
    <plotArea>
      <barChart>
        <barDir val="col"/>
        <grouping val="clustered"/>
        <ser>
          <idx val="0"/>
          <order val="0"/>
          <tx>
            <strRef>
              <f>'Dashboard'!C12</f>
            </strRef>
          </tx>
          <spPr>
            <a:solidFill xmlns:a="http://schemas.openxmlformats.org/drawingml/2006/main">
              <a:srgbClr val="0F766E"/>
            </a:solidFill>
            <a:ln xmlns:a="http://schemas.openxmlformats.org/drawingml/2006/main">
              <a:prstDash val="solid"/>
            </a:ln>
          </spPr>
          <cat>
            <numRef>
              <f>'Dashboard'!$A$13:$A$19</f>
            </numRef>
          </cat>
          <val>
            <numRef>
              <f>'Dashboard'!$C$13:$C$19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Variance Value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Closing Stock Value by Category</a:t>
            </a:r>
          </a:p>
        </rich>
      </tx>
    </title>
    <plotArea>
      <pieChart>
        <varyColors val="1"/>
        <ser>
          <idx val="0"/>
          <order val="0"/>
          <tx>
            <strRef>
              <f>'Dashboard'!B12</f>
            </strRef>
          </tx>
          <spPr>
            <a:ln xmlns:a="http://schemas.openxmlformats.org/drawingml/2006/main">
              <a:prstDash val="solid"/>
            </a:ln>
          </spPr>
          <cat>
            <numRef>
              <f>'Dashboard'!$A$13:$A$19</f>
            </numRef>
          </cat>
          <val>
            <numRef>
              <f>'Dashboard'!$B$13:$B$19</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10</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27</row>
      <rowOff>0</rowOff>
    </from>
    <ext cx="57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G12"/>
  <sheetViews>
    <sheetView workbookViewId="0">
      <pane ySplit="2" topLeftCell="A3" activePane="bottomLeft" state="frozen"/>
      <selection pane="bottomLeft" activeCell="A1" sqref="A1"/>
    </sheetView>
  </sheetViews>
  <sheetFormatPr baseColWidth="8" defaultRowHeight="15"/>
  <cols>
    <col width="13" customWidth="1" min="1" max="1"/>
    <col width="30" customWidth="1" min="2" max="2"/>
    <col width="20" customWidth="1" min="3" max="3"/>
    <col width="10" customWidth="1" min="4" max="4"/>
    <col width="11" customWidth="1" min="5" max="5"/>
    <col width="14" customWidth="1" min="6" max="6"/>
    <col width="14" customWidth="1" min="7" max="7"/>
  </cols>
  <sheetData>
    <row r="1">
      <c r="A1" s="1" t="inlineStr">
        <is>
          <t>VFI Publican Stocktake Template — Price List (Ireland)</t>
        </is>
      </c>
    </row>
    <row r="2">
      <c r="A2" s="2" t="inlineStr">
        <is>
          <t>Item Code</t>
        </is>
      </c>
      <c r="B2" s="2" t="inlineStr">
        <is>
          <t>Product Name</t>
        </is>
      </c>
      <c r="C2" s="2" t="inlineStr">
        <is>
          <t>Category</t>
        </is>
      </c>
      <c r="D2" s="2" t="inlineStr">
        <is>
          <t>Unit</t>
        </is>
      </c>
      <c r="E2" s="2" t="inlineStr">
        <is>
          <t>Case Size</t>
        </is>
      </c>
      <c r="F2" s="2" t="inlineStr">
        <is>
          <t>Unit Cost (€)</t>
        </is>
      </c>
      <c r="G2" s="2" t="inlineStr">
        <is>
          <t>Sales Price (€)</t>
        </is>
      </c>
    </row>
    <row r="3">
      <c r="A3" s="3" t="inlineStr">
        <is>
          <t>KEG-GUI50</t>
        </is>
      </c>
      <c r="B3" s="3" t="inlineStr">
        <is>
          <t>Guinness Draught Keg 50L</t>
        </is>
      </c>
      <c r="C3" s="3" t="inlineStr">
        <is>
          <t>Draught Beer</t>
        </is>
      </c>
      <c r="D3" s="3" t="inlineStr">
        <is>
          <t>Keg</t>
        </is>
      </c>
      <c r="E3" s="4" t="n">
        <v>1</v>
      </c>
      <c r="F3" s="5" t="n">
        <v>145</v>
      </c>
      <c r="G3" s="5" t="n">
        <v>620</v>
      </c>
    </row>
    <row r="4">
      <c r="A4" s="6" t="inlineStr">
        <is>
          <t>KEG-HEI50</t>
        </is>
      </c>
      <c r="B4" s="6" t="inlineStr">
        <is>
          <t>Heineken Keg 50L</t>
        </is>
      </c>
      <c r="C4" s="6" t="inlineStr">
        <is>
          <t>Draught Beer</t>
        </is>
      </c>
      <c r="D4" s="6" t="inlineStr">
        <is>
          <t>Keg</t>
        </is>
      </c>
      <c r="E4" s="7" t="n">
        <v>1</v>
      </c>
      <c r="F4" s="8" t="n">
        <v>140</v>
      </c>
      <c r="G4" s="8" t="n">
        <v>600</v>
      </c>
    </row>
    <row r="5">
      <c r="A5" s="3" t="inlineStr">
        <is>
          <t>KEG-SMI50</t>
        </is>
      </c>
      <c r="B5" s="3" t="inlineStr">
        <is>
          <t>Smithwick's Keg 50L</t>
        </is>
      </c>
      <c r="C5" s="3" t="inlineStr">
        <is>
          <t>Draught Beer</t>
        </is>
      </c>
      <c r="D5" s="3" t="inlineStr">
        <is>
          <t>Keg</t>
        </is>
      </c>
      <c r="E5" s="4" t="n">
        <v>1</v>
      </c>
      <c r="F5" s="5" t="n">
        <v>138</v>
      </c>
      <c r="G5" s="5" t="n">
        <v>590</v>
      </c>
    </row>
    <row r="6">
      <c r="A6" s="6" t="inlineStr">
        <is>
          <t>KEG-ROC50</t>
        </is>
      </c>
      <c r="B6" s="6" t="inlineStr">
        <is>
          <t>Rockshore Keg 50L</t>
        </is>
      </c>
      <c r="C6" s="6" t="inlineStr">
        <is>
          <t>Draught Beer</t>
        </is>
      </c>
      <c r="D6" s="6" t="inlineStr">
        <is>
          <t>Keg</t>
        </is>
      </c>
      <c r="E6" s="7" t="n">
        <v>1</v>
      </c>
      <c r="F6" s="8" t="n">
        <v>135</v>
      </c>
      <c r="G6" s="8" t="n">
        <v>580</v>
      </c>
    </row>
    <row r="7">
      <c r="A7" s="3" t="inlineStr">
        <is>
          <t>BTL-BUL500</t>
        </is>
      </c>
      <c r="B7" s="3" t="inlineStr">
        <is>
          <t>Bulmers Bottle 500ml (Case 12)</t>
        </is>
      </c>
      <c r="C7" s="3" t="inlineStr">
        <is>
          <t>Bottled Beer/Cider</t>
        </is>
      </c>
      <c r="D7" s="3" t="inlineStr">
        <is>
          <t>Case</t>
        </is>
      </c>
      <c r="E7" s="4" t="n">
        <v>12</v>
      </c>
      <c r="F7" s="5" t="n">
        <v>21.6</v>
      </c>
      <c r="G7" s="5" t="n">
        <v>42</v>
      </c>
    </row>
    <row r="8">
      <c r="A8" s="6" t="inlineStr">
        <is>
          <t>BTL-COKE</t>
        </is>
      </c>
      <c r="B8" s="6" t="inlineStr">
        <is>
          <t>Coca-Cola 330ml (Case 24)</t>
        </is>
      </c>
      <c r="C8" s="6" t="inlineStr">
        <is>
          <t>Soft Drinks</t>
        </is>
      </c>
      <c r="D8" s="6" t="inlineStr">
        <is>
          <t>Case</t>
        </is>
      </c>
      <c r="E8" s="7" t="n">
        <v>24</v>
      </c>
      <c r="F8" s="8" t="n">
        <v>14.4</v>
      </c>
      <c r="G8" s="8" t="n">
        <v>36</v>
      </c>
    </row>
    <row r="9">
      <c r="A9" s="3" t="inlineStr">
        <is>
          <t>SPI-JAM700</t>
        </is>
      </c>
      <c r="B9" s="3" t="inlineStr">
        <is>
          <t>Jameson 700ml</t>
        </is>
      </c>
      <c r="C9" s="3" t="inlineStr">
        <is>
          <t>Spirits</t>
        </is>
      </c>
      <c r="D9" s="3" t="inlineStr">
        <is>
          <t>Bottle</t>
        </is>
      </c>
      <c r="E9" s="4" t="n">
        <v>1</v>
      </c>
      <c r="F9" s="5" t="n">
        <v>22.5</v>
      </c>
      <c r="G9" s="5" t="n">
        <v>55</v>
      </c>
    </row>
    <row r="10">
      <c r="A10" s="6" t="inlineStr">
        <is>
          <t>SNK-TAY</t>
        </is>
      </c>
      <c r="B10" s="6" t="inlineStr">
        <is>
          <t>Tayto Crisps Box (48 bags)</t>
        </is>
      </c>
      <c r="C10" s="6" t="inlineStr">
        <is>
          <t>Snacks</t>
        </is>
      </c>
      <c r="D10" s="6" t="inlineStr">
        <is>
          <t>Box</t>
        </is>
      </c>
      <c r="E10" s="7" t="n">
        <v>48</v>
      </c>
      <c r="F10" s="8" t="n">
        <v>12</v>
      </c>
      <c r="G10" s="8" t="n">
        <v>28.8</v>
      </c>
    </row>
    <row r="11">
      <c r="A11" s="3" t="inlineStr">
        <is>
          <t>WIN-RED</t>
        </is>
      </c>
      <c r="B11" s="3" t="inlineStr">
        <is>
          <t>House Red Wine 750ml</t>
        </is>
      </c>
      <c r="C11" s="3" t="inlineStr">
        <is>
          <t>Wine</t>
        </is>
      </c>
      <c r="D11" s="3" t="inlineStr">
        <is>
          <t>Bottle</t>
        </is>
      </c>
      <c r="E11" s="4" t="n">
        <v>1</v>
      </c>
      <c r="F11" s="5" t="n">
        <v>7.2</v>
      </c>
      <c r="G11" s="5" t="n">
        <v>19.5</v>
      </c>
    </row>
    <row r="12">
      <c r="A12" s="6" t="inlineStr">
        <is>
          <t>MIX-BRI</t>
        </is>
      </c>
      <c r="B12" s="6" t="inlineStr">
        <is>
          <t>Britvic Mixers Case (24)</t>
        </is>
      </c>
      <c r="C12" s="6" t="inlineStr">
        <is>
          <t>Mixers</t>
        </is>
      </c>
      <c r="D12" s="6" t="inlineStr">
        <is>
          <t>Case</t>
        </is>
      </c>
      <c r="E12" s="7" t="n">
        <v>24</v>
      </c>
      <c r="F12" s="8" t="n">
        <v>13.2</v>
      </c>
      <c r="G12" s="8" t="n">
        <v>33.6</v>
      </c>
    </row>
  </sheetData>
  <mergeCells count="1">
    <mergeCell ref="A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13"/>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28" customWidth="1" min="2" max="2"/>
    <col width="18" customWidth="1" min="3" max="3"/>
    <col width="8" customWidth="1" min="4" max="4"/>
    <col width="12" customWidth="1" min="5" max="5"/>
    <col width="12" customWidth="1" min="6" max="6"/>
    <col width="15" customWidth="1" min="7" max="7"/>
    <col width="16" customWidth="1" min="8" max="8"/>
    <col width="18" customWidth="1" min="9" max="9"/>
    <col width="12" customWidth="1" min="10" max="10"/>
    <col width="12" customWidth="1" min="11" max="11"/>
    <col width="14" customWidth="1" min="12" max="12"/>
    <col width="10" customWidth="1" min="13" max="13"/>
    <col width="16" customWidth="1" min="14" max="14"/>
    <col width="13" customWidth="1" min="15" max="15"/>
    <col width="14" customWidth="1" min="16" max="16"/>
    <col width="13" customWidth="1" min="17" max="17"/>
  </cols>
  <sheetData>
    <row r="1">
      <c r="A1" s="1" t="inlineStr">
        <is>
          <t>Publican Pub Stocktake — Ireland (all quantities in Price List unit)</t>
        </is>
      </c>
    </row>
    <row r="2">
      <c r="A2" s="2" t="inlineStr">
        <is>
          <t>Item Code</t>
        </is>
      </c>
      <c r="B2" s="2" t="inlineStr">
        <is>
          <t>Product Name</t>
        </is>
      </c>
      <c r="C2" s="2" t="inlineStr">
        <is>
          <t>Category</t>
        </is>
      </c>
      <c r="D2" s="2" t="inlineStr">
        <is>
          <t>Unit</t>
        </is>
      </c>
      <c r="E2" s="2" t="inlineStr">
        <is>
          <t>Opening Stock</t>
        </is>
      </c>
      <c r="F2" s="2" t="inlineStr">
        <is>
          <t>Deliveries In</t>
        </is>
      </c>
      <c r="G2" s="2" t="inlineStr">
        <is>
          <t>Sales (Till System)</t>
        </is>
      </c>
      <c r="H2" s="2" t="inlineStr">
        <is>
          <t>Theoretical Closing</t>
        </is>
      </c>
      <c r="I2" s="2" t="inlineStr">
        <is>
          <t>Closing Stock (Counted)</t>
        </is>
      </c>
      <c r="J2" s="2" t="inlineStr">
        <is>
          <t>Variance (units)</t>
        </is>
      </c>
      <c r="K2" s="2" t="inlineStr">
        <is>
          <t>Unit Cost (€)</t>
        </is>
      </c>
      <c r="L2" s="2" t="inlineStr">
        <is>
          <t>Variance Value (€)</t>
        </is>
      </c>
      <c r="M2" s="2" t="inlineStr">
        <is>
          <t>Variance %</t>
        </is>
      </c>
      <c r="N2" s="2" t="inlineStr">
        <is>
          <t>Closing Stock Value (€)</t>
        </is>
      </c>
      <c r="O2" s="2" t="inlineStr">
        <is>
          <t>Status</t>
        </is>
      </c>
      <c r="P2" s="2" t="inlineStr">
        <is>
          <t>Counted By</t>
        </is>
      </c>
      <c r="Q2" s="2" t="inlineStr">
        <is>
          <t>Date Counted</t>
        </is>
      </c>
    </row>
    <row r="3">
      <c r="A3" s="3" t="inlineStr">
        <is>
          <t>KEG-GUI50</t>
        </is>
      </c>
      <c r="B3" s="3">
        <f>IFERROR(VLOOKUP(A3,'Price List'!$A$3:$G$12,2,FALSE),"")</f>
        <v/>
      </c>
      <c r="C3" s="3">
        <f>IFERROR(VLOOKUP(A3,'Price List'!$A$3:$G$12,3,FALSE),"")</f>
        <v/>
      </c>
      <c r="D3" s="3">
        <f>IFERROR(VLOOKUP(A3,'Price List'!$A$3:$G$12,4,FALSE),"")</f>
        <v/>
      </c>
      <c r="E3" s="9" t="n">
        <v>3</v>
      </c>
      <c r="F3" s="9" t="n">
        <v>4</v>
      </c>
      <c r="G3" s="9" t="n">
        <v>5.2</v>
      </c>
      <c r="H3" s="10">
        <f>E3+F3-G3</f>
        <v/>
      </c>
      <c r="I3" s="9" t="n">
        <v>1.7</v>
      </c>
      <c r="J3" s="10">
        <f>I3-H3</f>
        <v/>
      </c>
      <c r="K3" s="5">
        <f>IFERROR(VLOOKUP(A3,'Price List'!$A$3:$G$12,6,FALSE),0)</f>
        <v/>
      </c>
      <c r="L3" s="5">
        <f>J3*K3</f>
        <v/>
      </c>
      <c r="M3" s="11">
        <f>IFERROR(J3/H3,0)</f>
        <v/>
      </c>
      <c r="N3" s="5">
        <f>I3*K3</f>
        <v/>
      </c>
      <c r="O3" s="12">
        <f>IF(ABS(M3)&gt;0.05,"Investigate","OK")</f>
        <v/>
      </c>
      <c r="P3" s="13" t="inlineStr">
        <is>
          <t>Aoife Ryan</t>
        </is>
      </c>
      <c r="Q3" s="14" t="inlineStr">
        <is>
          <t>21/07/2026</t>
        </is>
      </c>
    </row>
    <row r="4">
      <c r="A4" s="6" t="inlineStr">
        <is>
          <t>KEG-HEI50</t>
        </is>
      </c>
      <c r="B4" s="6">
        <f>IFERROR(VLOOKUP(A4,'Price List'!$A$3:$G$12,2,FALSE),"")</f>
        <v/>
      </c>
      <c r="C4" s="6">
        <f>IFERROR(VLOOKUP(A4,'Price List'!$A$3:$G$12,3,FALSE),"")</f>
        <v/>
      </c>
      <c r="D4" s="6">
        <f>IFERROR(VLOOKUP(A4,'Price List'!$A$3:$G$12,4,FALSE),"")</f>
        <v/>
      </c>
      <c r="E4" s="9" t="n">
        <v>2.5</v>
      </c>
      <c r="F4" s="9" t="n">
        <v>2</v>
      </c>
      <c r="G4" s="9" t="n">
        <v>3.1</v>
      </c>
      <c r="H4" s="15">
        <f>E4+F4-G4</f>
        <v/>
      </c>
      <c r="I4" s="9" t="n">
        <v>1.5</v>
      </c>
      <c r="J4" s="15">
        <f>I4-H4</f>
        <v/>
      </c>
      <c r="K4" s="8">
        <f>IFERROR(VLOOKUP(A4,'Price List'!$A$3:$G$12,6,FALSE),0)</f>
        <v/>
      </c>
      <c r="L4" s="8">
        <f>J4*K4</f>
        <v/>
      </c>
      <c r="M4" s="16">
        <f>IFERROR(J4/H4,0)</f>
        <v/>
      </c>
      <c r="N4" s="8">
        <f>I4*K4</f>
        <v/>
      </c>
      <c r="O4" s="17">
        <f>IF(ABS(M4)&gt;0.05,"Investigate","OK")</f>
        <v/>
      </c>
      <c r="P4" s="13" t="inlineStr">
        <is>
          <t>Seán Byrne</t>
        </is>
      </c>
      <c r="Q4" s="14" t="inlineStr">
        <is>
          <t>21/07/2026</t>
        </is>
      </c>
    </row>
    <row r="5">
      <c r="A5" s="3" t="inlineStr">
        <is>
          <t>KEG-SMI50</t>
        </is>
      </c>
      <c r="B5" s="3">
        <f>IFERROR(VLOOKUP(A5,'Price List'!$A$3:$G$12,2,FALSE),"")</f>
        <v/>
      </c>
      <c r="C5" s="3">
        <f>IFERROR(VLOOKUP(A5,'Price List'!$A$3:$G$12,3,FALSE),"")</f>
        <v/>
      </c>
      <c r="D5" s="3">
        <f>IFERROR(VLOOKUP(A5,'Price List'!$A$3:$G$12,4,FALSE),"")</f>
        <v/>
      </c>
      <c r="E5" s="9" t="n">
        <v>2</v>
      </c>
      <c r="F5" s="9" t="n">
        <v>2</v>
      </c>
      <c r="G5" s="9" t="n">
        <v>2.8</v>
      </c>
      <c r="H5" s="10">
        <f>E5+F5-G5</f>
        <v/>
      </c>
      <c r="I5" s="9" t="n">
        <v>1</v>
      </c>
      <c r="J5" s="10">
        <f>I5-H5</f>
        <v/>
      </c>
      <c r="K5" s="5">
        <f>IFERROR(VLOOKUP(A5,'Price List'!$A$3:$G$12,6,FALSE),0)</f>
        <v/>
      </c>
      <c r="L5" s="5">
        <f>J5*K5</f>
        <v/>
      </c>
      <c r="M5" s="11">
        <f>IFERROR(J5/H5,0)</f>
        <v/>
      </c>
      <c r="N5" s="5">
        <f>I5*K5</f>
        <v/>
      </c>
      <c r="O5" s="12">
        <f>IF(ABS(M5)&gt;0.05,"Investigate","OK")</f>
        <v/>
      </c>
      <c r="P5" s="13" t="inlineStr">
        <is>
          <t>Niamh Kelly</t>
        </is>
      </c>
      <c r="Q5" s="14" t="inlineStr">
        <is>
          <t>21/07/2026</t>
        </is>
      </c>
    </row>
    <row r="6">
      <c r="A6" s="6" t="inlineStr">
        <is>
          <t>KEG-ROC50</t>
        </is>
      </c>
      <c r="B6" s="6">
        <f>IFERROR(VLOOKUP(A6,'Price List'!$A$3:$G$12,2,FALSE),"")</f>
        <v/>
      </c>
      <c r="C6" s="6">
        <f>IFERROR(VLOOKUP(A6,'Price List'!$A$3:$G$12,3,FALSE),"")</f>
        <v/>
      </c>
      <c r="D6" s="6">
        <f>IFERROR(VLOOKUP(A6,'Price List'!$A$3:$G$12,4,FALSE),"")</f>
        <v/>
      </c>
      <c r="E6" s="9" t="n">
        <v>1.5</v>
      </c>
      <c r="F6" s="9" t="n">
        <v>2</v>
      </c>
      <c r="G6" s="9" t="n">
        <v>2.6</v>
      </c>
      <c r="H6" s="15">
        <f>E6+F6-G6</f>
        <v/>
      </c>
      <c r="I6" s="9" t="n">
        <v>0.8</v>
      </c>
      <c r="J6" s="15">
        <f>I6-H6</f>
        <v/>
      </c>
      <c r="K6" s="8">
        <f>IFERROR(VLOOKUP(A6,'Price List'!$A$3:$G$12,6,FALSE),0)</f>
        <v/>
      </c>
      <c r="L6" s="8">
        <f>J6*K6</f>
        <v/>
      </c>
      <c r="M6" s="16">
        <f>IFERROR(J6/H6,0)</f>
        <v/>
      </c>
      <c r="N6" s="8">
        <f>I6*K6</f>
        <v/>
      </c>
      <c r="O6" s="17">
        <f>IF(ABS(M6)&gt;0.05,"Investigate","OK")</f>
        <v/>
      </c>
      <c r="P6" s="13" t="inlineStr">
        <is>
          <t>Cian Doyle</t>
        </is>
      </c>
      <c r="Q6" s="14" t="inlineStr">
        <is>
          <t>21/07/2026</t>
        </is>
      </c>
    </row>
    <row r="7">
      <c r="A7" s="3" t="inlineStr">
        <is>
          <t>BTL-BUL500</t>
        </is>
      </c>
      <c r="B7" s="3">
        <f>IFERROR(VLOOKUP(A7,'Price List'!$A$3:$G$12,2,FALSE),"")</f>
        <v/>
      </c>
      <c r="C7" s="3">
        <f>IFERROR(VLOOKUP(A7,'Price List'!$A$3:$G$12,3,FALSE),"")</f>
        <v/>
      </c>
      <c r="D7" s="3">
        <f>IFERROR(VLOOKUP(A7,'Price List'!$A$3:$G$12,4,FALSE),"")</f>
        <v/>
      </c>
      <c r="E7" s="9" t="n">
        <v>10</v>
      </c>
      <c r="F7" s="9" t="n">
        <v>12</v>
      </c>
      <c r="G7" s="9" t="n">
        <v>15</v>
      </c>
      <c r="H7" s="10">
        <f>E7+F7-G7</f>
        <v/>
      </c>
      <c r="I7" s="9" t="n">
        <v>6</v>
      </c>
      <c r="J7" s="10">
        <f>I7-H7</f>
        <v/>
      </c>
      <c r="K7" s="5">
        <f>IFERROR(VLOOKUP(A7,'Price List'!$A$3:$G$12,6,FALSE),0)</f>
        <v/>
      </c>
      <c r="L7" s="5">
        <f>J7*K7</f>
        <v/>
      </c>
      <c r="M7" s="11">
        <f>IFERROR(J7/H7,0)</f>
        <v/>
      </c>
      <c r="N7" s="5">
        <f>I7*K7</f>
        <v/>
      </c>
      <c r="O7" s="12">
        <f>IF(ABS(M7)&gt;0.05,"Investigate","OK")</f>
        <v/>
      </c>
      <c r="P7" s="13" t="inlineStr">
        <is>
          <t>Saoirse Nolan</t>
        </is>
      </c>
      <c r="Q7" s="14" t="inlineStr">
        <is>
          <t>21/07/2026</t>
        </is>
      </c>
    </row>
    <row r="8">
      <c r="A8" s="6" t="inlineStr">
        <is>
          <t>BTL-COKE</t>
        </is>
      </c>
      <c r="B8" s="6">
        <f>IFERROR(VLOOKUP(A8,'Price List'!$A$3:$G$12,2,FALSE),"")</f>
        <v/>
      </c>
      <c r="C8" s="6">
        <f>IFERROR(VLOOKUP(A8,'Price List'!$A$3:$G$12,3,FALSE),"")</f>
        <v/>
      </c>
      <c r="D8" s="6">
        <f>IFERROR(VLOOKUP(A8,'Price List'!$A$3:$G$12,4,FALSE),"")</f>
        <v/>
      </c>
      <c r="E8" s="9" t="n">
        <v>8</v>
      </c>
      <c r="F8" s="9" t="n">
        <v>10</v>
      </c>
      <c r="G8" s="9" t="n">
        <v>12</v>
      </c>
      <c r="H8" s="15">
        <f>E8+F8-G8</f>
        <v/>
      </c>
      <c r="I8" s="9" t="n">
        <v>6</v>
      </c>
      <c r="J8" s="15">
        <f>I8-H8</f>
        <v/>
      </c>
      <c r="K8" s="8">
        <f>IFERROR(VLOOKUP(A8,'Price List'!$A$3:$G$12,6,FALSE),0)</f>
        <v/>
      </c>
      <c r="L8" s="8">
        <f>J8*K8</f>
        <v/>
      </c>
      <c r="M8" s="16">
        <f>IFERROR(J8/H8,0)</f>
        <v/>
      </c>
      <c r="N8" s="8">
        <f>I8*K8</f>
        <v/>
      </c>
      <c r="O8" s="17">
        <f>IF(ABS(M8)&gt;0.05,"Investigate","OK")</f>
        <v/>
      </c>
      <c r="P8" s="13" t="inlineStr">
        <is>
          <t>Conor Walsh</t>
        </is>
      </c>
      <c r="Q8" s="14" t="inlineStr">
        <is>
          <t>21/07/2026</t>
        </is>
      </c>
    </row>
    <row r="9">
      <c r="A9" s="3" t="inlineStr">
        <is>
          <t>SPI-JAM700</t>
        </is>
      </c>
      <c r="B9" s="3">
        <f>IFERROR(VLOOKUP(A9,'Price List'!$A$3:$G$12,2,FALSE),"")</f>
        <v/>
      </c>
      <c r="C9" s="3">
        <f>IFERROR(VLOOKUP(A9,'Price List'!$A$3:$G$12,3,FALSE),"")</f>
        <v/>
      </c>
      <c r="D9" s="3">
        <f>IFERROR(VLOOKUP(A9,'Price List'!$A$3:$G$12,4,FALSE),"")</f>
        <v/>
      </c>
      <c r="E9" s="9" t="n">
        <v>6</v>
      </c>
      <c r="F9" s="9" t="n">
        <v>6</v>
      </c>
      <c r="G9" s="9" t="n">
        <v>7</v>
      </c>
      <c r="H9" s="10">
        <f>E9+F9-G9</f>
        <v/>
      </c>
      <c r="I9" s="9" t="n">
        <v>4</v>
      </c>
      <c r="J9" s="10">
        <f>I9-H9</f>
        <v/>
      </c>
      <c r="K9" s="5">
        <f>IFERROR(VLOOKUP(A9,'Price List'!$A$3:$G$12,6,FALSE),0)</f>
        <v/>
      </c>
      <c r="L9" s="5">
        <f>J9*K9</f>
        <v/>
      </c>
      <c r="M9" s="11">
        <f>IFERROR(J9/H9,0)</f>
        <v/>
      </c>
      <c r="N9" s="5">
        <f>I9*K9</f>
        <v/>
      </c>
      <c r="O9" s="12">
        <f>IF(ABS(M9)&gt;0.05,"Investigate","OK")</f>
        <v/>
      </c>
      <c r="P9" s="13" t="inlineStr">
        <is>
          <t>Aoife Ryan</t>
        </is>
      </c>
      <c r="Q9" s="14" t="inlineStr">
        <is>
          <t>21/07/2026</t>
        </is>
      </c>
    </row>
    <row r="10">
      <c r="A10" s="6" t="inlineStr">
        <is>
          <t>SNK-TAY</t>
        </is>
      </c>
      <c r="B10" s="6">
        <f>IFERROR(VLOOKUP(A10,'Price List'!$A$3:$G$12,2,FALSE),"")</f>
        <v/>
      </c>
      <c r="C10" s="6">
        <f>IFERROR(VLOOKUP(A10,'Price List'!$A$3:$G$12,3,FALSE),"")</f>
        <v/>
      </c>
      <c r="D10" s="6">
        <f>IFERROR(VLOOKUP(A10,'Price List'!$A$3:$G$12,4,FALSE),"")</f>
        <v/>
      </c>
      <c r="E10" s="9" t="n">
        <v>4</v>
      </c>
      <c r="F10" s="9" t="n">
        <v>4</v>
      </c>
      <c r="G10" s="9" t="n">
        <v>5</v>
      </c>
      <c r="H10" s="15">
        <f>E10+F10-G10</f>
        <v/>
      </c>
      <c r="I10" s="9" t="n">
        <v>3</v>
      </c>
      <c r="J10" s="15">
        <f>I10-H10</f>
        <v/>
      </c>
      <c r="K10" s="8">
        <f>IFERROR(VLOOKUP(A10,'Price List'!$A$3:$G$12,6,FALSE),0)</f>
        <v/>
      </c>
      <c r="L10" s="8">
        <f>J10*K10</f>
        <v/>
      </c>
      <c r="M10" s="16">
        <f>IFERROR(J10/H10,0)</f>
        <v/>
      </c>
      <c r="N10" s="8">
        <f>I10*K10</f>
        <v/>
      </c>
      <c r="O10" s="17">
        <f>IF(ABS(M10)&gt;0.05,"Investigate","OK")</f>
        <v/>
      </c>
      <c r="P10" s="13" t="inlineStr">
        <is>
          <t>Seán Byrne</t>
        </is>
      </c>
      <c r="Q10" s="14" t="inlineStr">
        <is>
          <t>21/07/2026</t>
        </is>
      </c>
    </row>
    <row r="11">
      <c r="A11" s="3" t="inlineStr">
        <is>
          <t>WIN-RED</t>
        </is>
      </c>
      <c r="B11" s="3">
        <f>IFERROR(VLOOKUP(A11,'Price List'!$A$3:$G$12,2,FALSE),"")</f>
        <v/>
      </c>
      <c r="C11" s="3">
        <f>IFERROR(VLOOKUP(A11,'Price List'!$A$3:$G$12,3,FALSE),"")</f>
        <v/>
      </c>
      <c r="D11" s="3">
        <f>IFERROR(VLOOKUP(A11,'Price List'!$A$3:$G$12,4,FALSE),"")</f>
        <v/>
      </c>
      <c r="E11" s="9" t="n">
        <v>12</v>
      </c>
      <c r="F11" s="9" t="n">
        <v>12</v>
      </c>
      <c r="G11" s="9" t="n">
        <v>15</v>
      </c>
      <c r="H11" s="10">
        <f>E11+F11-G11</f>
        <v/>
      </c>
      <c r="I11" s="9" t="n">
        <v>8</v>
      </c>
      <c r="J11" s="10">
        <f>I11-H11</f>
        <v/>
      </c>
      <c r="K11" s="5">
        <f>IFERROR(VLOOKUP(A11,'Price List'!$A$3:$G$12,6,FALSE),0)</f>
        <v/>
      </c>
      <c r="L11" s="5">
        <f>J11*K11</f>
        <v/>
      </c>
      <c r="M11" s="11">
        <f>IFERROR(J11/H11,0)</f>
        <v/>
      </c>
      <c r="N11" s="5">
        <f>I11*K11</f>
        <v/>
      </c>
      <c r="O11" s="12">
        <f>IF(ABS(M11)&gt;0.05,"Investigate","OK")</f>
        <v/>
      </c>
      <c r="P11" s="13" t="inlineStr">
        <is>
          <t>Niamh Kelly</t>
        </is>
      </c>
      <c r="Q11" s="14" t="inlineStr">
        <is>
          <t>21/07/2026</t>
        </is>
      </c>
    </row>
    <row r="12">
      <c r="A12" s="6" t="inlineStr">
        <is>
          <t>MIX-BRI</t>
        </is>
      </c>
      <c r="B12" s="6">
        <f>IFERROR(VLOOKUP(A12,'Price List'!$A$3:$G$12,2,FALSE),"")</f>
        <v/>
      </c>
      <c r="C12" s="6">
        <f>IFERROR(VLOOKUP(A12,'Price List'!$A$3:$G$12,3,FALSE),"")</f>
        <v/>
      </c>
      <c r="D12" s="6">
        <f>IFERROR(VLOOKUP(A12,'Price List'!$A$3:$G$12,4,FALSE),"")</f>
        <v/>
      </c>
      <c r="E12" s="9" t="n">
        <v>5</v>
      </c>
      <c r="F12" s="9" t="n">
        <v>5</v>
      </c>
      <c r="G12" s="9" t="n">
        <v>6</v>
      </c>
      <c r="H12" s="15">
        <f>E12+F12-G12</f>
        <v/>
      </c>
      <c r="I12" s="9" t="n">
        <v>4</v>
      </c>
      <c r="J12" s="15">
        <f>I12-H12</f>
        <v/>
      </c>
      <c r="K12" s="8">
        <f>IFERROR(VLOOKUP(A12,'Price List'!$A$3:$G$12,6,FALSE),0)</f>
        <v/>
      </c>
      <c r="L12" s="8">
        <f>J12*K12</f>
        <v/>
      </c>
      <c r="M12" s="16">
        <f>IFERROR(J12/H12,0)</f>
        <v/>
      </c>
      <c r="N12" s="8">
        <f>I12*K12</f>
        <v/>
      </c>
      <c r="O12" s="17">
        <f>IF(ABS(M12)&gt;0.05,"Investigate","OK")</f>
        <v/>
      </c>
      <c r="P12" s="13" t="inlineStr">
        <is>
          <t>Cian Doyle</t>
        </is>
      </c>
      <c r="Q12" s="14" t="inlineStr">
        <is>
          <t>21/07/2026</t>
        </is>
      </c>
    </row>
    <row r="13">
      <c r="A13" s="18" t="n"/>
      <c r="B13" s="19" t="inlineStr">
        <is>
          <t>TOTALS</t>
        </is>
      </c>
      <c r="C13" s="18" t="n"/>
      <c r="D13" s="18" t="n"/>
      <c r="E13" s="20">
        <f>SUM(E3:E12)</f>
        <v/>
      </c>
      <c r="F13" s="20">
        <f>SUM(F3:F12)</f>
        <v/>
      </c>
      <c r="G13" s="20">
        <f>SUM(G3:G12)</f>
        <v/>
      </c>
      <c r="H13" s="20">
        <f>SUM(H3:H12)</f>
        <v/>
      </c>
      <c r="I13" s="20">
        <f>SUM(I3:I12)</f>
        <v/>
      </c>
      <c r="J13" s="20">
        <f>SUM(J3:J12)</f>
        <v/>
      </c>
      <c r="K13" s="18" t="n"/>
      <c r="L13" s="21">
        <f>SUM(L3:L12)</f>
        <v/>
      </c>
      <c r="M13" s="22">
        <f>IFERROR(AVERAGE(M3:M12),0)</f>
        <v/>
      </c>
      <c r="N13" s="21">
        <f>SUM(N3:N12)</f>
        <v/>
      </c>
      <c r="O13" s="19">
        <f>COUNTIF(O3:O12,"Investigate")&amp;" to investigate"</f>
        <v/>
      </c>
      <c r="P13" s="18" t="n"/>
      <c r="Q13" s="18" t="n"/>
    </row>
  </sheetData>
  <mergeCells count="1">
    <mergeCell ref="A1:Q1"/>
  </mergeCells>
  <conditionalFormatting sqref="O3:O12">
    <cfRule type="expression" priority="1" dxfId="0" stopIfTrue="1">
      <formula>O3="Investigate"</formula>
    </cfRule>
    <cfRule type="expression" priority="2" dxfId="1" stopIfTrue="1">
      <formula>O3="OK"</formula>
    </cfRule>
  </conditionalFormatting>
  <conditionalFormatting sqref="L3:L12">
    <cfRule type="cellIs" priority="3" operator="lessThan" dxfId="2">
      <formula>0</formula>
    </cfRule>
    <cfRule type="cellIs" priority="4" operator="greaterThanOrEqual" dxfId="3">
      <formula>0</formula>
    </cfRule>
  </conditionalFormatting>
  <dataValidations count="1">
    <dataValidation sqref="P3:P12" showErrorMessage="1" showInputMessage="1" allowBlank="1" type="list">
      <formula1>"Aoife Ryan,Seán Byrne,Niamh Kelly,Cian Doyle,Saoirse Nolan,Conor Walsh"</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28" customWidth="1" min="1" max="1"/>
    <col width="22" customWidth="1" min="2" max="2"/>
    <col width="20" customWidth="1" min="3" max="3"/>
    <col width="14" customWidth="1" min="4" max="4"/>
    <col width="14" customWidth="1" min="5" max="5"/>
    <col width="14" customWidth="1" min="6" max="6"/>
  </cols>
  <sheetData>
    <row r="1">
      <c r="A1" s="1" t="inlineStr">
        <is>
          <t>Stocktake Dashboard — Summary &amp; Charts</t>
        </is>
      </c>
    </row>
    <row r="2"/>
    <row r="3">
      <c r="A3" s="23" t="inlineStr">
        <is>
          <t>Key Metric</t>
        </is>
      </c>
      <c r="B3" s="23" t="inlineStr">
        <is>
          <t>Value</t>
        </is>
      </c>
    </row>
    <row r="4">
      <c r="A4" s="6" t="inlineStr">
        <is>
          <t>Total Closing Stock Value (€)</t>
        </is>
      </c>
      <c r="B4" s="24">
        <f>SUM(Stocktake!N3:N12)</f>
        <v/>
      </c>
    </row>
    <row r="5">
      <c r="A5" s="3" t="inlineStr">
        <is>
          <t>Total Variance Value (€)</t>
        </is>
      </c>
      <c r="B5" s="25">
        <f>SUM(Stocktake!L3:L12)</f>
        <v/>
      </c>
    </row>
    <row r="6">
      <c r="A6" s="6" t="inlineStr">
        <is>
          <t>Average Variance %</t>
        </is>
      </c>
      <c r="B6" s="26">
        <f>IFERROR(AVERAGE(Stocktake!M3:M12),0)</f>
        <v/>
      </c>
    </row>
    <row r="7">
      <c r="A7" s="3" t="inlineStr">
        <is>
          <t>Items to Investigate</t>
        </is>
      </c>
      <c r="B7" s="27">
        <f>COUNTIF(Stocktake!O3:O12,"Investigate")</f>
        <v/>
      </c>
    </row>
    <row r="8">
      <c r="A8" s="6" t="inlineStr">
        <is>
          <t>Items OK</t>
        </is>
      </c>
      <c r="B8" s="28">
        <f>COUNTIF(Stocktake!O3:O12,"OK")</f>
        <v/>
      </c>
    </row>
    <row r="9"/>
    <row r="10"/>
    <row r="11">
      <c r="A11" s="29" t="inlineStr">
        <is>
          <t>Category Summary</t>
        </is>
      </c>
    </row>
    <row r="12">
      <c r="A12" s="23" t="inlineStr">
        <is>
          <t>Category</t>
        </is>
      </c>
      <c r="B12" s="23" t="inlineStr">
        <is>
          <t>Closing Stock Value (€)</t>
        </is>
      </c>
      <c r="C12" s="23" t="inlineStr">
        <is>
          <t>Variance Value (€)</t>
        </is>
      </c>
    </row>
    <row r="13">
      <c r="A13" s="3" t="inlineStr">
        <is>
          <t>Draught Beer</t>
        </is>
      </c>
      <c r="B13" s="5">
        <f>SUMIF(Stocktake!$C$3:$C$12,A13,Stocktake!$N$3:$N$12)</f>
        <v/>
      </c>
      <c r="C13" s="5">
        <f>SUMIF(Stocktake!$C$3:$C$12,A13,Stocktake!$L$3:$L$12)</f>
        <v/>
      </c>
    </row>
    <row r="14">
      <c r="A14" s="6" t="inlineStr">
        <is>
          <t>Bottled Beer/Cider</t>
        </is>
      </c>
      <c r="B14" s="8">
        <f>SUMIF(Stocktake!$C$3:$C$12,A14,Stocktake!$N$3:$N$12)</f>
        <v/>
      </c>
      <c r="C14" s="8">
        <f>SUMIF(Stocktake!$C$3:$C$12,A14,Stocktake!$L$3:$L$12)</f>
        <v/>
      </c>
    </row>
    <row r="15">
      <c r="A15" s="3" t="inlineStr">
        <is>
          <t>Soft Drinks</t>
        </is>
      </c>
      <c r="B15" s="5">
        <f>SUMIF(Stocktake!$C$3:$C$12,A15,Stocktake!$N$3:$N$12)</f>
        <v/>
      </c>
      <c r="C15" s="5">
        <f>SUMIF(Stocktake!$C$3:$C$12,A15,Stocktake!$L$3:$L$12)</f>
        <v/>
      </c>
    </row>
    <row r="16">
      <c r="A16" s="6" t="inlineStr">
        <is>
          <t>Spirits</t>
        </is>
      </c>
      <c r="B16" s="8">
        <f>SUMIF(Stocktake!$C$3:$C$12,A16,Stocktake!$N$3:$N$12)</f>
        <v/>
      </c>
      <c r="C16" s="8">
        <f>SUMIF(Stocktake!$C$3:$C$12,A16,Stocktake!$L$3:$L$12)</f>
        <v/>
      </c>
    </row>
    <row r="17">
      <c r="A17" s="3" t="inlineStr">
        <is>
          <t>Snacks</t>
        </is>
      </c>
      <c r="B17" s="5">
        <f>SUMIF(Stocktake!$C$3:$C$12,A17,Stocktake!$N$3:$N$12)</f>
        <v/>
      </c>
      <c r="C17" s="5">
        <f>SUMIF(Stocktake!$C$3:$C$12,A17,Stocktake!$L$3:$L$12)</f>
        <v/>
      </c>
    </row>
    <row r="18">
      <c r="A18" s="6" t="inlineStr">
        <is>
          <t>Wine</t>
        </is>
      </c>
      <c r="B18" s="8">
        <f>SUMIF(Stocktake!$C$3:$C$12,A18,Stocktake!$N$3:$N$12)</f>
        <v/>
      </c>
      <c r="C18" s="8">
        <f>SUMIF(Stocktake!$C$3:$C$12,A18,Stocktake!$L$3:$L$12)</f>
        <v/>
      </c>
    </row>
    <row r="19">
      <c r="A19" s="3" t="inlineStr">
        <is>
          <t>Mixers</t>
        </is>
      </c>
      <c r="B19" s="5">
        <f>SUMIF(Stocktake!$C$3:$C$12,A19,Stocktake!$N$3:$N$12)</f>
        <v/>
      </c>
      <c r="C19" s="5">
        <f>SUMIF(Stocktake!$C$3:$C$12,A19,Stocktake!$L$3:$L$12)</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18" customWidth="1" min="1" max="1"/>
    <col width="100" customWidth="1" min="2" max="2"/>
  </cols>
  <sheetData>
    <row r="1">
      <c r="A1" s="1" t="inlineStr">
        <is>
          <t>Instructions — VFI Publican Stocktake Template</t>
        </is>
      </c>
    </row>
    <row r="2"/>
    <row r="3">
      <c r="A3" s="23" t="inlineStr">
        <is>
          <t>Sheet</t>
        </is>
      </c>
      <c r="B3" s="23" t="inlineStr">
        <is>
          <t>Purpose / How to Use</t>
        </is>
      </c>
    </row>
    <row r="4" ht="60" customHeight="1">
      <c r="A4" s="30" t="inlineStr">
        <is>
          <t>Price List</t>
        </is>
      </c>
      <c r="B4" s="31" t="inlineStr">
        <is>
          <t>Master list of stock items, categories, case sizes, unit cost and sales price. Update prices here — the Stocktake sheet pulls Product Name, Category, Unit and Unit Cost automatically using VLOOKUP based on Item Code.</t>
        </is>
      </c>
    </row>
    <row r="5" ht="60" customHeight="1">
      <c r="A5" s="32" t="inlineStr">
        <is>
          <t>Stocktake</t>
        </is>
      </c>
      <c r="B5" s="33" t="inlineStr">
        <is>
          <t>Enter Opening Stock, Deliveries In, Sales (from the till/EPOS system) and the physical Closing Stock Counted for each item during your stocktake. The Theoretical Closing Stock, Variance (units), Variance Value (€) and Status are calculated automatically. Status shows 'Investigate' where the variance exceeds 5% — usually indicating spillage, wastage, theft or a till/dispense error. Select the person who counted stock from the Counted By dropdown and record the Date Counted.</t>
        </is>
      </c>
    </row>
    <row r="6" ht="60" customHeight="1">
      <c r="A6" s="30" t="inlineStr">
        <is>
          <t>Dashboard</t>
        </is>
      </c>
      <c r="B6" s="31" t="inlineStr">
        <is>
          <t>Shows key stocktake metrics (total stock value, total variance value, average variance %, items flagged for investigation) plus a category breakdown with a bar chart of variance value and a pie chart of closing stock value, both updated automatically from the Stocktake sheet.</t>
        </is>
      </c>
    </row>
    <row r="7" ht="60" customHeight="1">
      <c r="A7" s="32" t="inlineStr">
        <is>
          <t>General</t>
        </is>
      </c>
      <c r="B7" s="33" t="inlineStr">
        <is>
          <t>All quantities must be entered in the Unit shown for that item (Keg, Case, Bottle or Box) as set out in the Price List. Pale yellow cells are for manual entry; all other cells are calculated automatically and should not be overwritten.</t>
        </is>
      </c>
    </row>
    <row r="8" ht="60" customHeight="1">
      <c r="A8" s="30" t="inlineStr">
        <is>
          <t>VAT note</t>
        </is>
      </c>
      <c r="B8" s="31" t="inlineStr">
        <is>
          <t>Sales prices shown are VAT-inclusive at the standard Irish rate of 23% where applicable. Adjust the Price List if your pub applies a reduced VAT rate (e.g. 9% or 13.5%) to certain items.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2026-07-21T17:09:30Z</dcterms:created>
  <dcterms:modified xmlns:dcterms="http://purl.org/dc/terms/" xmlns:xsi="http://www.w3.org/2001/XMLSchema-instance" xsi:type="dcterms:W3CDTF">2026-07-21T17:09:30Z</dcterms:modified>
</cp:coreProperties>
</file>