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 Ceallair" sheetId="1" state="visible" r:id="rId1"/>
    <sheet xmlns:r="http://schemas.openxmlformats.org/officeDocument/2006/relationships" name="Clár Oibre" sheetId="2" state="visible" r:id="rId2"/>
    <sheet xmlns:r="http://schemas.openxmlformats.org/officeDocument/2006/relationships" name="Treorach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7" borderId="0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9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2" fillId="6" borderId="1" applyAlignment="1" pivotButton="0" quotePrefix="0" xfId="0">
      <alignment horizontal="right"/>
    </xf>
    <xf numFmtId="165" fontId="2" fillId="6" borderId="1" pivotButton="0" quotePrefix="0" xfId="0"/>
    <xf numFmtId="0" fontId="2" fillId="6" borderId="1" pivotButton="0" quotePrefix="0" xfId="0"/>
    <xf numFmtId="9" fontId="2" fillId="6" borderId="1" pivotButton="0" quotePrefix="0" xfId="0"/>
    <xf numFmtId="0" fontId="1" fillId="0" borderId="0" pivotButton="0" quotePrefix="0" xfId="0"/>
    <xf numFmtId="0" fontId="4" fillId="7" borderId="0" applyAlignment="1" pivotButton="0" quotePrefix="0" xfId="0">
      <alignment horizontal="center" vertical="center" wrapText="1"/>
    </xf>
    <xf numFmtId="0" fontId="3" fillId="4" borderId="1" pivotButton="0" quotePrefix="0" xfId="0"/>
    <xf numFmtId="0" fontId="2" fillId="4" borderId="1" pivotButton="0" quotePrefix="0" xfId="0"/>
    <xf numFmtId="165" fontId="3" fillId="0" borderId="1" pivotButton="0" quotePrefix="0" xfId="0"/>
    <xf numFmtId="0" fontId="3" fillId="5" borderId="1" pivotButton="0" quotePrefix="0" xfId="0"/>
    <xf numFmtId="0" fontId="2" fillId="5" borderId="1" pivotButton="0" quotePrefix="0" xfId="0"/>
    <xf numFmtId="165" fontId="2" fillId="4" borderId="1" pivotButton="0" quotePrefix="0" xfId="0"/>
    <xf numFmtId="165" fontId="2" fillId="5" borderId="1" pivotButton="0" quotePrefix="0" xfId="0"/>
    <xf numFmtId="9" fontId="2" fillId="4" borderId="1" pivotButton="0" quotePrefix="0" xfId="0"/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164" fontId="3" fillId="0" borderId="0" pivotButton="0" quotePrefix="0" xfId="0"/>
    <xf numFmtId="165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5" fontId="2" fillId="6" borderId="1" pivotButton="0" quotePrefix="0" xfId="0"/>
    <xf numFmtId="165" fontId="3" fillId="0" borderId="1" pivotButton="0" quotePrefix="0" xfId="0"/>
    <xf numFmtId="165" fontId="2" fillId="4" borderId="1" pivotButton="0" quotePrefix="0" xfId="0"/>
    <xf numFmtId="165" fontId="2" fillId="5" borderId="1" pivotButton="0" quotePrefix="0" xfId="0"/>
  </cellXfs>
  <cellStyles count="1">
    <cellStyle name="Normal" xfId="0" builtinId="0" hidden="0"/>
  </cellStyles>
  <dxfs count="4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Luach Stoic Fágtha per Branda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'Clár Oibre'!E3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'Clár Oibre'!$D$4:$D$13</f>
            </numRef>
          </cat>
          <val>
            <numRef>
              <f>'Clár Oibre'!$E$4:$E$13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Branda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Luach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Miondealú Stádas Ceaigeanna</a:t>
            </a:r>
          </a:p>
        </rich>
      </tx>
    </title>
    <plotArea>
      <pieChart>
        <varyColors val="1"/>
        <ser>
          <idx val="0"/>
          <order val="0"/>
          <tx>
            <strRef>
              <f>'Clár Oibre'!E15</f>
            </strRef>
          </tx>
          <spPr>
            <a:ln xmlns:a="http://schemas.openxmlformats.org/drawingml/2006/main">
              <a:prstDash val="solid"/>
            </a:ln>
          </spPr>
          <cat>
            <numRef>
              <f>'Clár Oibre'!$D$16:$D$18</f>
            </numRef>
          </cat>
          <val>
            <numRef>
              <f>'Clár Oibre'!$E$16:$E$18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8" customWidth="1" min="3" max="3"/>
    <col width="12" customWidth="1" min="4" max="4"/>
    <col width="11" customWidth="1" min="5" max="5"/>
    <col width="13" customWidth="1" min="6" max="6"/>
    <col width="13" customWidth="1" min="7" max="7"/>
    <col width="12" customWidth="1" min="8" max="8"/>
    <col width="12" customWidth="1" min="9" max="9"/>
    <col width="11" customWidth="1" min="10" max="10"/>
    <col width="10" customWidth="1" min="11" max="11"/>
    <col width="10" customWidth="1" min="12" max="12"/>
    <col width="10" customWidth="1" min="13" max="13"/>
    <col width="9" customWidth="1" min="14" max="14"/>
    <col width="11" customWidth="1" min="15" max="15"/>
    <col width="14" customWidth="1" min="16" max="16"/>
    <col width="12" customWidth="1" min="17" max="17"/>
    <col width="15" customWidth="1" min="18" max="18"/>
    <col width="2" customWidth="1" min="19" max="19"/>
    <col width="18" customWidth="1" min="20" max="20"/>
    <col width="16" customWidth="1" min="21" max="21"/>
  </cols>
  <sheetData>
    <row r="1" ht="24" customHeight="1">
      <c r="A1" s="1" t="inlineStr">
        <is>
          <t>Teach Tábhairne Uí Bhriain - Rialú Stoic Ceallair (Cellar Keg Stock Control)</t>
        </is>
      </c>
    </row>
    <row r="2">
      <c r="A2" s="2" t="inlineStr">
        <is>
          <t>Nuashonraithe / Last updated:</t>
        </is>
      </c>
      <c r="B2" s="36" t="n">
        <v>46224</v>
      </c>
    </row>
    <row r="3"/>
    <row r="4" ht="42" customHeight="1">
      <c r="A4" s="4" t="inlineStr">
        <is>
          <t>Aitheantóir Ceaig
(Keg ID)</t>
        </is>
      </c>
      <c r="B4" s="4" t="inlineStr">
        <is>
          <t>Branda Beorach
(Beer Brand)</t>
        </is>
      </c>
      <c r="C4" s="4" t="inlineStr">
        <is>
          <t>Soláthraí
(Supplier)</t>
        </is>
      </c>
      <c r="D4" s="4" t="inlineStr">
        <is>
          <t>Stíl Beorach
(Beer Style)</t>
        </is>
      </c>
      <c r="E4" s="4" t="inlineStr">
        <is>
          <t>Méid Ceaig (L)
(Keg Size)</t>
        </is>
      </c>
      <c r="F4" s="4" t="inlineStr">
        <is>
          <t>Costas per Ceaig (€)</t>
        </is>
      </c>
      <c r="G4" s="4" t="inlineStr">
        <is>
          <t>Suíomh Ceallair
(Cellar Location)</t>
        </is>
      </c>
      <c r="H4" s="4" t="inlineStr">
        <is>
          <t>Dáta Faighte
(Date Received)</t>
        </is>
      </c>
      <c r="I4" s="4" t="inlineStr">
        <is>
          <t>Dáta Tapáilte
(Date Tapped)</t>
        </is>
      </c>
      <c r="J4" s="4" t="inlineStr">
        <is>
          <t>Stádas
(Status)</t>
        </is>
      </c>
      <c r="K4" s="4" t="inlineStr">
        <is>
          <t>Piontaí per Ceaig</t>
        </is>
      </c>
      <c r="L4" s="4" t="inlineStr">
        <is>
          <t>Piontaí Díolta (Meastachán)</t>
        </is>
      </c>
      <c r="M4" s="4" t="inlineStr">
        <is>
          <t>Piontaí Fágtha</t>
        </is>
      </c>
      <c r="N4" s="4" t="inlineStr">
        <is>
          <t>% Fágtha</t>
        </is>
      </c>
      <c r="O4" s="4" t="inlineStr">
        <is>
          <t>Leibhéal Athordaithe (Piontaí)</t>
        </is>
      </c>
      <c r="P4" s="4" t="inlineStr">
        <is>
          <t>Athordú de Dhíth?</t>
        </is>
      </c>
      <c r="Q4" s="4" t="inlineStr">
        <is>
          <t>Luach Fágtha (€)</t>
        </is>
      </c>
      <c r="R4" s="4" t="inlineStr">
        <is>
          <t>Teagmháil Soláthraí</t>
        </is>
      </c>
      <c r="T4" s="5" t="inlineStr">
        <is>
          <t>Soláthraí (Supplier)</t>
        </is>
      </c>
      <c r="U4" s="5" t="inlineStr">
        <is>
          <t>Uimhir Teagmhála (Contact No.)</t>
        </is>
      </c>
    </row>
    <row r="5">
      <c r="A5" s="6" t="inlineStr">
        <is>
          <t>KEG-001</t>
        </is>
      </c>
      <c r="B5" s="7" t="inlineStr">
        <is>
          <t>Guinness Draught</t>
        </is>
      </c>
      <c r="C5" s="7" t="inlineStr">
        <is>
          <t>Diageo Ireland</t>
        </is>
      </c>
      <c r="D5" s="7" t="inlineStr">
        <is>
          <t>Stout</t>
        </is>
      </c>
      <c r="E5" s="6" t="n">
        <v>50</v>
      </c>
      <c r="F5" s="37" t="n">
        <v>145</v>
      </c>
      <c r="G5" s="6" t="inlineStr">
        <is>
          <t>Bay 1</t>
        </is>
      </c>
      <c r="H5" s="38" t="n">
        <v>46213</v>
      </c>
      <c r="I5" s="38" t="n">
        <v>46217</v>
      </c>
      <c r="J5" s="6" t="inlineStr">
        <is>
          <t>On Tap</t>
        </is>
      </c>
      <c r="K5" s="6">
        <f>ROUND(E5*1.76,0)</f>
        <v/>
      </c>
      <c r="L5" s="10" t="n">
        <v>42</v>
      </c>
      <c r="M5" s="6">
        <f>MAX(K5-L5,0)</f>
        <v/>
      </c>
      <c r="N5" s="11">
        <f>IFERROR(M5/K5,0)</f>
        <v/>
      </c>
      <c r="O5" s="10" t="n">
        <v>15</v>
      </c>
      <c r="P5" s="6">
        <f>IF(J5="Empty","Ordaigh Anois",IF(M5&lt;=O5,"Íseal - Ordaigh","Leor"))</f>
        <v/>
      </c>
      <c r="Q5" s="39">
        <f>ROUND(N5*F5,2)</f>
        <v/>
      </c>
      <c r="R5" s="6">
        <f>IFERROR(VLOOKUP(C5,$T$5:$U$8,2,0),"")</f>
        <v/>
      </c>
      <c r="T5" s="13" t="inlineStr">
        <is>
          <t>Diageo Ireland</t>
        </is>
      </c>
      <c r="U5" s="13" t="inlineStr">
        <is>
          <t>01-404 7000</t>
        </is>
      </c>
    </row>
    <row r="6">
      <c r="A6" s="14" t="inlineStr">
        <is>
          <t>KEG-002</t>
        </is>
      </c>
      <c r="B6" s="15" t="inlineStr">
        <is>
          <t>Smithwick's Draught</t>
        </is>
      </c>
      <c r="C6" s="15" t="inlineStr">
        <is>
          <t>Diageo Ireland</t>
        </is>
      </c>
      <c r="D6" s="15" t="inlineStr">
        <is>
          <t>Red Ale</t>
        </is>
      </c>
      <c r="E6" s="14" t="n">
        <v>50</v>
      </c>
      <c r="F6" s="37" t="n">
        <v>138</v>
      </c>
      <c r="G6" s="14" t="inlineStr">
        <is>
          <t>Bay 1</t>
        </is>
      </c>
      <c r="H6" s="40" t="n">
        <v>46212</v>
      </c>
      <c r="I6" s="40" t="n">
        <v>46218</v>
      </c>
      <c r="J6" s="14" t="inlineStr">
        <is>
          <t>On Tap</t>
        </is>
      </c>
      <c r="K6" s="14">
        <f>ROUND(E6*1.76,0)</f>
        <v/>
      </c>
      <c r="L6" s="10" t="n">
        <v>10</v>
      </c>
      <c r="M6" s="14">
        <f>MAX(K6-L6,0)</f>
        <v/>
      </c>
      <c r="N6" s="17">
        <f>IFERROR(M6/K6,0)</f>
        <v/>
      </c>
      <c r="O6" s="10" t="n">
        <v>15</v>
      </c>
      <c r="P6" s="14">
        <f>IF(J6="Empty","Ordaigh Anois",IF(M6&lt;=O6,"Íseal - Ordaigh","Leor"))</f>
        <v/>
      </c>
      <c r="Q6" s="41">
        <f>ROUND(N6*F6,2)</f>
        <v/>
      </c>
      <c r="R6" s="14">
        <f>IFERROR(VLOOKUP(C6,$T$5:$U$8,2,0),"")</f>
        <v/>
      </c>
      <c r="T6" s="13" t="inlineStr">
        <is>
          <t>Heineken Ireland</t>
        </is>
      </c>
      <c r="U6" s="13" t="inlineStr">
        <is>
          <t>01-404 5000</t>
        </is>
      </c>
    </row>
    <row r="7">
      <c r="A7" s="6" t="inlineStr">
        <is>
          <t>KEG-003</t>
        </is>
      </c>
      <c r="B7" s="7" t="inlineStr">
        <is>
          <t>Heineken</t>
        </is>
      </c>
      <c r="C7" s="7" t="inlineStr">
        <is>
          <t>Heineken Ireland</t>
        </is>
      </c>
      <c r="D7" s="7" t="inlineStr">
        <is>
          <t>Lager</t>
        </is>
      </c>
      <c r="E7" s="6" t="n">
        <v>50</v>
      </c>
      <c r="F7" s="37" t="n">
        <v>152</v>
      </c>
      <c r="G7" s="6" t="inlineStr">
        <is>
          <t>Bay 2</t>
        </is>
      </c>
      <c r="H7" s="38" t="n">
        <v>46214</v>
      </c>
      <c r="I7" s="38" t="n">
        <v>46219</v>
      </c>
      <c r="J7" s="6" t="inlineStr">
        <is>
          <t>On Tap</t>
        </is>
      </c>
      <c r="K7" s="6">
        <f>ROUND(E7*1.76,0)</f>
        <v/>
      </c>
      <c r="L7" s="10" t="n">
        <v>20</v>
      </c>
      <c r="M7" s="6">
        <f>MAX(K7-L7,0)</f>
        <v/>
      </c>
      <c r="N7" s="11">
        <f>IFERROR(M7/K7,0)</f>
        <v/>
      </c>
      <c r="O7" s="10" t="n">
        <v>15</v>
      </c>
      <c r="P7" s="6">
        <f>IF(J7="Empty","Ordaigh Anois",IF(M7&lt;=O7,"Íseal - Ordaigh","Leor"))</f>
        <v/>
      </c>
      <c r="Q7" s="39">
        <f>ROUND(N7*F7,2)</f>
        <v/>
      </c>
      <c r="R7" s="6">
        <f>IFERROR(VLOOKUP(C7,$T$5:$U$8,2,0),"")</f>
        <v/>
      </c>
      <c r="T7" s="13" t="inlineStr">
        <is>
          <t>C&amp;C Group</t>
        </is>
      </c>
      <c r="U7" s="13" t="inlineStr">
        <is>
          <t>01-419 1000</t>
        </is>
      </c>
    </row>
    <row r="8">
      <c r="A8" s="14" t="inlineStr">
        <is>
          <t>KEG-004</t>
        </is>
      </c>
      <c r="B8" s="15" t="inlineStr">
        <is>
          <t>Rockshore Lager</t>
        </is>
      </c>
      <c r="C8" s="15" t="inlineStr">
        <is>
          <t>Diageo Ireland</t>
        </is>
      </c>
      <c r="D8" s="15" t="inlineStr">
        <is>
          <t>Lager</t>
        </is>
      </c>
      <c r="E8" s="14" t="n">
        <v>50</v>
      </c>
      <c r="F8" s="37" t="n">
        <v>128</v>
      </c>
      <c r="G8" s="14" t="inlineStr">
        <is>
          <t>Bay 2</t>
        </is>
      </c>
      <c r="H8" s="40" t="n">
        <v>46215</v>
      </c>
      <c r="I8" s="40" t="n"/>
      <c r="J8" s="14" t="inlineStr">
        <is>
          <t>In Cellar</t>
        </is>
      </c>
      <c r="K8" s="14">
        <f>ROUND(E8*1.76,0)</f>
        <v/>
      </c>
      <c r="L8" s="10" t="n">
        <v>0</v>
      </c>
      <c r="M8" s="14">
        <f>MAX(K8-L8,0)</f>
        <v/>
      </c>
      <c r="N8" s="17">
        <f>IFERROR(M8/K8,0)</f>
        <v/>
      </c>
      <c r="O8" s="10" t="n">
        <v>15</v>
      </c>
      <c r="P8" s="14">
        <f>IF(J8="Empty","Ordaigh Anois",IF(M8&lt;=O8,"Íseal - Ordaigh","Leor"))</f>
        <v/>
      </c>
      <c r="Q8" s="41">
        <f>ROUND(N8*F8,2)</f>
        <v/>
      </c>
      <c r="R8" s="14">
        <f>IFERROR(VLOOKUP(C8,$T$5:$U$8,2,0),"")</f>
        <v/>
      </c>
      <c r="T8" s="13" t="inlineStr">
        <is>
          <t>Molson Coors Ireland</t>
        </is>
      </c>
      <c r="U8" s="13" t="inlineStr">
        <is>
          <t>01-855 6000</t>
        </is>
      </c>
    </row>
    <row r="9">
      <c r="A9" s="6" t="inlineStr">
        <is>
          <t>KEG-005</t>
        </is>
      </c>
      <c r="B9" s="7" t="inlineStr">
        <is>
          <t>Orchard Thieves Cider</t>
        </is>
      </c>
      <c r="C9" s="7" t="inlineStr">
        <is>
          <t>C&amp;C Group</t>
        </is>
      </c>
      <c r="D9" s="7" t="inlineStr">
        <is>
          <t>Cider</t>
        </is>
      </c>
      <c r="E9" s="6" t="n">
        <v>50</v>
      </c>
      <c r="F9" s="37" t="n">
        <v>149</v>
      </c>
      <c r="G9" s="6" t="inlineStr">
        <is>
          <t>Bay 3</t>
        </is>
      </c>
      <c r="H9" s="38" t="n">
        <v>46211</v>
      </c>
      <c r="I9" s="38" t="n">
        <v>46216</v>
      </c>
      <c r="J9" s="6" t="inlineStr">
        <is>
          <t>Empty</t>
        </is>
      </c>
      <c r="K9" s="6">
        <f>ROUND(E9*1.76,0)</f>
        <v/>
      </c>
      <c r="L9" s="10" t="n">
        <v>88</v>
      </c>
      <c r="M9" s="6">
        <f>MAX(K9-L9,0)</f>
        <v/>
      </c>
      <c r="N9" s="11">
        <f>IFERROR(M9/K9,0)</f>
        <v/>
      </c>
      <c r="O9" s="10" t="n">
        <v>15</v>
      </c>
      <c r="P9" s="6">
        <f>IF(J9="Empty","Ordaigh Anois",IF(M9&lt;=O9,"Íseal - Ordaigh","Leor"))</f>
        <v/>
      </c>
      <c r="Q9" s="39">
        <f>ROUND(N9*F9,2)</f>
        <v/>
      </c>
      <c r="R9" s="6">
        <f>IFERROR(VLOOKUP(C9,$T$5:$U$8,2,0),"")</f>
        <v/>
      </c>
    </row>
    <row r="10">
      <c r="A10" s="14" t="inlineStr">
        <is>
          <t>KEG-006</t>
        </is>
      </c>
      <c r="B10" s="15" t="inlineStr">
        <is>
          <t>Bulmers Original</t>
        </is>
      </c>
      <c r="C10" s="15" t="inlineStr">
        <is>
          <t>C&amp;C Group</t>
        </is>
      </c>
      <c r="D10" s="15" t="inlineStr">
        <is>
          <t>Cider</t>
        </is>
      </c>
      <c r="E10" s="14" t="n">
        <v>50</v>
      </c>
      <c r="F10" s="37" t="n">
        <v>146</v>
      </c>
      <c r="G10" s="14" t="inlineStr">
        <is>
          <t>Bay 3</t>
        </is>
      </c>
      <c r="H10" s="40" t="n">
        <v>46216</v>
      </c>
      <c r="I10" s="40" t="n"/>
      <c r="J10" s="14" t="inlineStr">
        <is>
          <t>In Cellar</t>
        </is>
      </c>
      <c r="K10" s="14">
        <f>ROUND(E10*1.76,0)</f>
        <v/>
      </c>
      <c r="L10" s="10" t="n">
        <v>0</v>
      </c>
      <c r="M10" s="14">
        <f>MAX(K10-L10,0)</f>
        <v/>
      </c>
      <c r="N10" s="17">
        <f>IFERROR(M10/K10,0)</f>
        <v/>
      </c>
      <c r="O10" s="10" t="n">
        <v>15</v>
      </c>
      <c r="P10" s="14">
        <f>IF(J10="Empty","Ordaigh Anois",IF(M10&lt;=O10,"Íseal - Ordaigh","Leor"))</f>
        <v/>
      </c>
      <c r="Q10" s="41">
        <f>ROUND(N10*F10,2)</f>
        <v/>
      </c>
      <c r="R10" s="14">
        <f>IFERROR(VLOOKUP(C10,$T$5:$U$8,2,0),"")</f>
        <v/>
      </c>
    </row>
    <row r="11">
      <c r="A11" s="6" t="inlineStr">
        <is>
          <t>KEG-007</t>
        </is>
      </c>
      <c r="B11" s="7" t="inlineStr">
        <is>
          <t>Coors Light</t>
        </is>
      </c>
      <c r="C11" s="7" t="inlineStr">
        <is>
          <t>Molson Coors Ireland</t>
        </is>
      </c>
      <c r="D11" s="7" t="inlineStr">
        <is>
          <t>Lager</t>
        </is>
      </c>
      <c r="E11" s="6" t="n">
        <v>50</v>
      </c>
      <c r="F11" s="37" t="n">
        <v>132</v>
      </c>
      <c r="G11" s="6" t="inlineStr">
        <is>
          <t>Bay 2</t>
        </is>
      </c>
      <c r="H11" s="38" t="n">
        <v>46213</v>
      </c>
      <c r="I11" s="38" t="n">
        <v>46220</v>
      </c>
      <c r="J11" s="6" t="inlineStr">
        <is>
          <t>On Tap</t>
        </is>
      </c>
      <c r="K11" s="6">
        <f>ROUND(E11*1.76,0)</f>
        <v/>
      </c>
      <c r="L11" s="10" t="n">
        <v>5</v>
      </c>
      <c r="M11" s="6">
        <f>MAX(K11-L11,0)</f>
        <v/>
      </c>
      <c r="N11" s="11">
        <f>IFERROR(M11/K11,0)</f>
        <v/>
      </c>
      <c r="O11" s="10" t="n">
        <v>15</v>
      </c>
      <c r="P11" s="6">
        <f>IF(J11="Empty","Ordaigh Anois",IF(M11&lt;=O11,"Íseal - Ordaigh","Leor"))</f>
        <v/>
      </c>
      <c r="Q11" s="39">
        <f>ROUND(N11*F11,2)</f>
        <v/>
      </c>
      <c r="R11" s="6">
        <f>IFERROR(VLOOKUP(C11,$T$5:$U$8,2,0),"")</f>
        <v/>
      </c>
    </row>
    <row r="12">
      <c r="A12" s="14" t="inlineStr">
        <is>
          <t>KEG-008</t>
        </is>
      </c>
      <c r="B12" s="15" t="inlineStr">
        <is>
          <t>Hop House 13</t>
        </is>
      </c>
      <c r="C12" s="15" t="inlineStr">
        <is>
          <t>Diageo Ireland</t>
        </is>
      </c>
      <c r="D12" s="15" t="inlineStr">
        <is>
          <t>Lager</t>
        </is>
      </c>
      <c r="E12" s="14" t="n">
        <v>50</v>
      </c>
      <c r="F12" s="37" t="n">
        <v>150</v>
      </c>
      <c r="G12" s="14" t="inlineStr">
        <is>
          <t>Bay 1</t>
        </is>
      </c>
      <c r="H12" s="40" t="n">
        <v>46217</v>
      </c>
      <c r="I12" s="40" t="n">
        <v>46221</v>
      </c>
      <c r="J12" s="14" t="inlineStr">
        <is>
          <t>On Tap</t>
        </is>
      </c>
      <c r="K12" s="14">
        <f>ROUND(E12*1.76,0)</f>
        <v/>
      </c>
      <c r="L12" s="10" t="n">
        <v>30</v>
      </c>
      <c r="M12" s="14">
        <f>MAX(K12-L12,0)</f>
        <v/>
      </c>
      <c r="N12" s="17">
        <f>IFERROR(M12/K12,0)</f>
        <v/>
      </c>
      <c r="O12" s="10" t="n">
        <v>15</v>
      </c>
      <c r="P12" s="14">
        <f>IF(J12="Empty","Ordaigh Anois",IF(M12&lt;=O12,"Íseal - Ordaigh","Leor"))</f>
        <v/>
      </c>
      <c r="Q12" s="41">
        <f>ROUND(N12*F12,2)</f>
        <v/>
      </c>
      <c r="R12" s="14">
        <f>IFERROR(VLOOKUP(C12,$T$5:$U$8,2,0),"")</f>
        <v/>
      </c>
    </row>
    <row r="13">
      <c r="A13" s="6" t="inlineStr">
        <is>
          <t>KEG-009</t>
        </is>
      </c>
      <c r="B13" s="7" t="inlineStr">
        <is>
          <t>Beamish Red</t>
        </is>
      </c>
      <c r="C13" s="7" t="inlineStr">
        <is>
          <t>Heineken Ireland</t>
        </is>
      </c>
      <c r="D13" s="7" t="inlineStr">
        <is>
          <t>Stout</t>
        </is>
      </c>
      <c r="E13" s="6" t="n">
        <v>50</v>
      </c>
      <c r="F13" s="37" t="n">
        <v>136</v>
      </c>
      <c r="G13" s="6" t="inlineStr">
        <is>
          <t>Bay 4</t>
        </is>
      </c>
      <c r="H13" s="38" t="n">
        <v>46210</v>
      </c>
      <c r="I13" s="38" t="n">
        <v>46215</v>
      </c>
      <c r="J13" s="6" t="inlineStr">
        <is>
          <t>Empty</t>
        </is>
      </c>
      <c r="K13" s="6">
        <f>ROUND(E13*1.76,0)</f>
        <v/>
      </c>
      <c r="L13" s="10" t="n">
        <v>88</v>
      </c>
      <c r="M13" s="6">
        <f>MAX(K13-L13,0)</f>
        <v/>
      </c>
      <c r="N13" s="11">
        <f>IFERROR(M13/K13,0)</f>
        <v/>
      </c>
      <c r="O13" s="10" t="n">
        <v>15</v>
      </c>
      <c r="P13" s="6">
        <f>IF(J13="Empty","Ordaigh Anois",IF(M13&lt;=O13,"Íseal - Ordaigh","Leor"))</f>
        <v/>
      </c>
      <c r="Q13" s="39">
        <f>ROUND(N13*F13,2)</f>
        <v/>
      </c>
      <c r="R13" s="6">
        <f>IFERROR(VLOOKUP(C13,$T$5:$U$8,2,0),"")</f>
        <v/>
      </c>
    </row>
    <row r="14">
      <c r="A14" s="14" t="inlineStr">
        <is>
          <t>KEG-010</t>
        </is>
      </c>
      <c r="B14" s="15" t="inlineStr">
        <is>
          <t>Carlsberg</t>
        </is>
      </c>
      <c r="C14" s="15" t="inlineStr">
        <is>
          <t>Molson Coors Ireland</t>
        </is>
      </c>
      <c r="D14" s="15" t="inlineStr">
        <is>
          <t>Lager</t>
        </is>
      </c>
      <c r="E14" s="14" t="n">
        <v>30</v>
      </c>
      <c r="F14" s="37" t="n">
        <v>98</v>
      </c>
      <c r="G14" s="14" t="inlineStr">
        <is>
          <t>Bay 4</t>
        </is>
      </c>
      <c r="H14" s="40" t="n">
        <v>46218</v>
      </c>
      <c r="I14" s="40" t="n"/>
      <c r="J14" s="14" t="inlineStr">
        <is>
          <t>In Cellar</t>
        </is>
      </c>
      <c r="K14" s="14">
        <f>ROUND(E14*1.76,0)</f>
        <v/>
      </c>
      <c r="L14" s="10" t="n">
        <v>0</v>
      </c>
      <c r="M14" s="14">
        <f>MAX(K14-L14,0)</f>
        <v/>
      </c>
      <c r="N14" s="17">
        <f>IFERROR(M14/K14,0)</f>
        <v/>
      </c>
      <c r="O14" s="10" t="n">
        <v>15</v>
      </c>
      <c r="P14" s="14">
        <f>IF(J14="Empty","Ordaigh Anois",IF(M14&lt;=O14,"Íseal - Ordaigh","Leor"))</f>
        <v/>
      </c>
      <c r="Q14" s="41">
        <f>ROUND(N14*F14,2)</f>
        <v/>
      </c>
      <c r="R14" s="14">
        <f>IFERROR(VLOOKUP(C14,$T$5:$U$8,2,0),"")</f>
        <v/>
      </c>
    </row>
    <row r="15">
      <c r="A15" s="19" t="n"/>
      <c r="B15" s="20" t="inlineStr">
        <is>
          <t>IOMLÁN / TOTAL</t>
        </is>
      </c>
      <c r="C15" s="42" t="n"/>
      <c r="D15" s="42" t="n"/>
      <c r="E15" s="43" t="n"/>
      <c r="F15" s="44">
        <f>SUM(F5:F14)</f>
        <v/>
      </c>
      <c r="G15" s="19" t="n"/>
      <c r="H15" s="19" t="n"/>
      <c r="I15" s="19" t="n"/>
      <c r="J15" s="19" t="n"/>
      <c r="K15" s="22">
        <f>SUM(K5:K14)</f>
        <v/>
      </c>
      <c r="L15" s="22">
        <f>SUM(L5:L14)</f>
        <v/>
      </c>
      <c r="M15" s="22">
        <f>SUM(M5:M14)</f>
        <v/>
      </c>
      <c r="N15" s="23">
        <f>IFERROR(AVERAGE(N5:N14),0)</f>
        <v/>
      </c>
      <c r="O15" s="19" t="n"/>
      <c r="P15" s="19" t="n"/>
      <c r="Q15" s="44">
        <f>SUM(Q5:Q14)</f>
        <v/>
      </c>
      <c r="R15" s="19" t="n"/>
    </row>
  </sheetData>
  <mergeCells count="2">
    <mergeCell ref="A1:R1"/>
    <mergeCell ref="B15:E15"/>
  </mergeCells>
  <conditionalFormatting sqref="P5:P14">
    <cfRule type="expression" priority="1" dxfId="0" stopIfTrue="1">
      <formula>P5&lt;&gt;"Leor"</formula>
    </cfRule>
    <cfRule type="expression" priority="2" dxfId="1" stopIfTrue="1">
      <formula>P5="Leor"</formula>
    </cfRule>
  </conditionalFormatting>
  <conditionalFormatting sqref="J5:J14">
    <cfRule type="expression" priority="3" dxfId="2" stopIfTrue="1">
      <formula>J5="Empty"</formula>
    </cfRule>
    <cfRule type="expression" priority="4" dxfId="3" stopIfTrue="1">
      <formula>J5="On Tap"</formula>
    </cfRule>
  </conditionalFormatting>
  <dataValidations count="1">
    <dataValidation sqref="J5:J14" showErrorMessage="1" showInputMessage="1" allowBlank="0" type="list">
      <formula1>"In Cellar,On Tap,Empty"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18" customWidth="1" min="4" max="4"/>
    <col width="14" customWidth="1" min="5" max="5"/>
    <col width="14" customWidth="1" min="6" max="6"/>
  </cols>
  <sheetData>
    <row r="1" ht="24" customHeight="1">
      <c r="A1" s="24" t="inlineStr">
        <is>
          <t>Painéal Bainistíochta Ceallair (Cellar Management Dashboard)</t>
        </is>
      </c>
    </row>
    <row r="2"/>
    <row r="3">
      <c r="A3" s="25" t="inlineStr">
        <is>
          <t>Príomhmhéadracht (Key Metrics)</t>
        </is>
      </c>
      <c r="D3" s="5" t="inlineStr">
        <is>
          <t>Branda</t>
        </is>
      </c>
      <c r="E3" s="5" t="inlineStr">
        <is>
          <t>Luach Fágtha (€)</t>
        </is>
      </c>
    </row>
    <row r="4">
      <c r="A4" s="26" t="inlineStr">
        <is>
          <t>Líon Ceaigeanna Iomlán (Total Kegs)</t>
        </is>
      </c>
      <c r="B4" s="27">
        <f>COUNTA('Stoc Ceallair'!A5:A14)</f>
        <v/>
      </c>
      <c r="D4" s="13">
        <f>'Stoc Ceallair'!B5</f>
        <v/>
      </c>
      <c r="E4" s="45">
        <f>'Stoc Ceallair'!Q5</f>
        <v/>
      </c>
    </row>
    <row r="5">
      <c r="A5" s="29" t="inlineStr">
        <is>
          <t>Ceaigeanna ar Tap (On Tap)</t>
        </is>
      </c>
      <c r="B5" s="30">
        <f>COUNTIF('Stoc Ceallair'!J5:J14,"On Tap")</f>
        <v/>
      </c>
      <c r="D5" s="13">
        <f>'Stoc Ceallair'!B6</f>
        <v/>
      </c>
      <c r="E5" s="45">
        <f>'Stoc Ceallair'!Q6</f>
        <v/>
      </c>
    </row>
    <row r="6">
      <c r="A6" s="26" t="inlineStr">
        <is>
          <t>Ceaigeanna i gCeallair (In Cellar)</t>
        </is>
      </c>
      <c r="B6" s="27">
        <f>COUNTIF('Stoc Ceallair'!J5:J14,"In Cellar")</f>
        <v/>
      </c>
      <c r="D6" s="13">
        <f>'Stoc Ceallair'!B7</f>
        <v/>
      </c>
      <c r="E6" s="45">
        <f>'Stoc Ceallair'!Q7</f>
        <v/>
      </c>
    </row>
    <row r="7">
      <c r="A7" s="29" t="inlineStr">
        <is>
          <t>Ceaigeanna Folmha (Empty)</t>
        </is>
      </c>
      <c r="B7" s="30">
        <f>COUNTIF('Stoc Ceallair'!J5:J14,"Empty")</f>
        <v/>
      </c>
      <c r="D7" s="13">
        <f>'Stoc Ceallair'!B8</f>
        <v/>
      </c>
      <c r="E7" s="45">
        <f>'Stoc Ceallair'!Q8</f>
        <v/>
      </c>
    </row>
    <row r="8">
      <c r="A8" s="26" t="inlineStr">
        <is>
          <t>Costas Stoic Iomlán (€)</t>
        </is>
      </c>
      <c r="B8" s="46">
        <f>SUM('Stoc Ceallair'!F5:F14)</f>
        <v/>
      </c>
      <c r="D8" s="13">
        <f>'Stoc Ceallair'!B9</f>
        <v/>
      </c>
      <c r="E8" s="45">
        <f>'Stoc Ceallair'!Q9</f>
        <v/>
      </c>
    </row>
    <row r="9">
      <c r="A9" s="29" t="inlineStr">
        <is>
          <t>Luach Fágtha Iomlán (€)</t>
        </is>
      </c>
      <c r="B9" s="47">
        <f>SUM('Stoc Ceallair'!Q5:Q14)</f>
        <v/>
      </c>
      <c r="D9" s="13">
        <f>'Stoc Ceallair'!B10</f>
        <v/>
      </c>
      <c r="E9" s="45">
        <f>'Stoc Ceallair'!Q10</f>
        <v/>
      </c>
    </row>
    <row r="10">
      <c r="A10" s="26" t="inlineStr">
        <is>
          <t>Meán % Fágtha</t>
        </is>
      </c>
      <c r="B10" s="33">
        <f>AVERAGE('Stoc Ceallair'!N5:N14)</f>
        <v/>
      </c>
      <c r="D10" s="13">
        <f>'Stoc Ceallair'!B11</f>
        <v/>
      </c>
      <c r="E10" s="45">
        <f>'Stoc Ceallair'!Q11</f>
        <v/>
      </c>
    </row>
    <row r="11">
      <c r="A11" s="29" t="inlineStr">
        <is>
          <t>Ceaigeanna a Theastaíonn Athordú</t>
        </is>
      </c>
      <c r="B11" s="30">
        <f>COUNTIF('Stoc Ceallair'!P5:P14,"Íseal - Ordaigh")+COUNTIF('Stoc Ceallair'!P5:P14,"Ordaigh Anois")</f>
        <v/>
      </c>
      <c r="D11" s="13">
        <f>'Stoc Ceallair'!B12</f>
        <v/>
      </c>
      <c r="E11" s="45">
        <f>'Stoc Ceallair'!Q12</f>
        <v/>
      </c>
    </row>
    <row r="12">
      <c r="D12" s="13">
        <f>'Stoc Ceallair'!B13</f>
        <v/>
      </c>
      <c r="E12" s="45">
        <f>'Stoc Ceallair'!Q13</f>
        <v/>
      </c>
    </row>
    <row r="13">
      <c r="D13" s="13">
        <f>'Stoc Ceallair'!B14</f>
        <v/>
      </c>
      <c r="E13" s="45">
        <f>'Stoc Ceallair'!Q14</f>
        <v/>
      </c>
    </row>
    <row r="14"/>
    <row r="15">
      <c r="D15" s="5" t="inlineStr">
        <is>
          <t>Stádas</t>
        </is>
      </c>
      <c r="E15" s="5" t="inlineStr">
        <is>
          <t>Líon</t>
        </is>
      </c>
    </row>
    <row r="16">
      <c r="D16" s="13" t="inlineStr">
        <is>
          <t>On Tap</t>
        </is>
      </c>
      <c r="E16" s="13">
        <f>COUNTIF('Stoc Ceallair'!J5:J14,"On Tap")</f>
        <v/>
      </c>
    </row>
    <row r="17">
      <c r="D17" s="13" t="inlineStr">
        <is>
          <t>In Cellar</t>
        </is>
      </c>
      <c r="E17" s="13">
        <f>COUNTIF('Stoc Ceallair'!J5:J14,"In Cellar")</f>
        <v/>
      </c>
    </row>
    <row r="18">
      <c r="D18" s="13" t="inlineStr">
        <is>
          <t>Empty</t>
        </is>
      </c>
      <c r="E18" s="13">
        <f>COUNTIF('Stoc Ceallair'!J5:J14,"Empty")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4" customHeight="1">
      <c r="A1" s="24" t="inlineStr">
        <is>
          <t>Treoracha Úsáide (Instructions)</t>
        </is>
      </c>
    </row>
    <row r="2"/>
    <row r="3" ht="46" customHeight="1">
      <c r="A3" s="34" t="inlineStr">
        <is>
          <t>Stoc Ceallair</t>
        </is>
      </c>
      <c r="B3" s="35" t="inlineStr">
        <is>
          <t>Príomhbhileog a bhfuil gach ceaig liostaithe de réir aitheantóra, brainda, soláthraí, stíl, méid, costas, suíomh sa cheallar, dátaí faighte/tapáilte agus stádas reatha. Athraigh na cealla buí (Costas, Piontaí Díolta, Leibhéal Athordaithe) de réir mar is gá - déantar na colúin eile a ríomh go huathoibríoch.</t>
        </is>
      </c>
    </row>
    <row r="4" ht="46" customHeight="1">
      <c r="A4" s="34" t="inlineStr">
        <is>
          <t>Colún Stádas</t>
        </is>
      </c>
      <c r="B4" s="35" t="inlineStr">
        <is>
          <t>Roghnaigh 'In Cellar', 'On Tap' nó 'Empty' ón liosta anuas i gcolún J. Athraíonn dathanna na gcealla go huathoibríoch de réir an stádais (glas = ar tap, dearg = folamh).</t>
        </is>
      </c>
    </row>
    <row r="5" ht="46" customHeight="1">
      <c r="A5" s="34" t="inlineStr">
        <is>
          <t>Piontaí per Ceaig</t>
        </is>
      </c>
      <c r="B5" s="35" t="inlineStr">
        <is>
          <t>Ríomhtar go huathoibríoch: méid an cheaig i lítrí iolraithe faoi 1.76 (comhshó lítear go pionta Éireannach).</t>
        </is>
      </c>
    </row>
    <row r="6" ht="46" customHeight="1">
      <c r="A6" s="34" t="inlineStr">
        <is>
          <t>Piontaí Fágtha / % Fágtha</t>
        </is>
      </c>
      <c r="B6" s="35" t="inlineStr">
        <is>
          <t>Ríomhtar trí na piontaí díolta (meastachán ó chomhaireamh an bharra) a bhaint de na piontaí iomlána sa cheaig.</t>
        </is>
      </c>
    </row>
    <row r="7" ht="46" customHeight="1">
      <c r="A7" s="34" t="inlineStr">
        <is>
          <t>Athordú de Dhíth?</t>
        </is>
      </c>
      <c r="B7" s="35" t="inlineStr">
        <is>
          <t>Formúla IF a sheiceálann an bhfuil na piontaí fágtha faoi bhun an leibhéil athordaithe, nó an bhfuil an ceaig folamh - taispeánann sí 'Ordaigh Anois', 'Íseal - Ordaigh' nó 'Leor'.</t>
        </is>
      </c>
    </row>
    <row r="8" ht="46" customHeight="1">
      <c r="A8" s="34" t="inlineStr">
        <is>
          <t>Teagmháil Soláthraí</t>
        </is>
      </c>
      <c r="B8" s="35" t="inlineStr">
        <is>
          <t>Cuardach VLOOKUP a aimsíonn uimhir theagmhála an tsoláthraí ón tábla beag ar thaobh na láimhe deise den bhileog (T4:U8).</t>
        </is>
      </c>
    </row>
    <row r="9" ht="46" customHeight="1">
      <c r="A9" s="34" t="inlineStr">
        <is>
          <t>Clár Oibre</t>
        </is>
      </c>
      <c r="B9" s="35" t="inlineStr">
        <is>
          <t>Léargas achomair ar an gceallar iomlán: líon ceaigeanna de réir stádais, costas agus luach stoic iomlán, meán % fágtha, agus cé mhéad ceaig a theastaíonn athordú. Cuimsíonn sé cairteanna barraí agus phióg a nuashonraítear go huathoibríoch.</t>
        </is>
      </c>
    </row>
    <row r="10" ht="46" customHeight="1">
      <c r="A10" s="34" t="inlineStr">
        <is>
          <t>Nuashonrú Laethúil</t>
        </is>
      </c>
      <c r="B10" s="35" t="inlineStr">
        <is>
          <t>Ag deireadh gach seachtaine/lá, nuashonraigh na cealla buí (stádas, piontaí díolta) le cinntiú go bhfuil na tuairiscí cruinn suas chun dáta.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2026-07-21T17:12:04Z</dcterms:created>
  <dcterms:modified xmlns:dcterms="http://purl.org/dc/terms/" xmlns:xsi="http://www.w3.org/2001/XMLSchema-instance" xsi:type="dcterms:W3CDTF">2026-07-21T17:12:04Z</dcterms:modified>
</cp:coreProperties>
</file>