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ll Taking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€&quot;#,##0.00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166" fontId="6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5" borderId="0" applyAlignment="1" pivotButton="0" quotePrefix="0" xfId="0">
      <alignment horizontal="center" vertical="center" wrapText="1"/>
    </xf>
    <xf numFmtId="0" fontId="5" fillId="3" borderId="1" pivotButton="0" quotePrefix="0" xfId="0"/>
    <xf numFmtId="165" fontId="4" fillId="3" borderId="1" applyAlignment="1" pivotButton="0" quotePrefix="0" xfId="0">
      <alignment horizontal="right" vertical="center"/>
    </xf>
    <xf numFmtId="0" fontId="5" fillId="4" borderId="1" pivotButton="0" quotePrefix="0" xfId="0"/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49" fontId="4" fillId="4" borderId="1" applyAlignment="1" pivotButton="0" quotePrefix="0" xfId="0">
      <alignment horizontal="right" vertical="center"/>
    </xf>
    <xf numFmtId="0" fontId="5" fillId="0" borderId="0" pivotButton="0" quotePrefix="0" xfId="0"/>
    <xf numFmtId="0" fontId="4" fillId="6" borderId="1" pivotButton="0" quotePrefix="0" xfId="0"/>
    <xf numFmtId="0" fontId="5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5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Takings by Stall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'Stall Takings'!H4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'Stall Takings'!$B$5:$B$14</f>
            </numRef>
          </cat>
          <val>
            <numRef>
              <f>'Stall Takings'!$H$5:$H$14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Stall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Takings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Profit Share by Stall</a:t>
            </a:r>
          </a:p>
        </rich>
      </tx>
    </title>
    <plotArea>
      <pieChart>
        <varyColors val="1"/>
        <ser>
          <idx val="0"/>
          <order val="0"/>
          <tx>
            <strRef>
              <f>'Stall Takings'!L4</f>
            </strRef>
          </tx>
          <spPr>
            <a:ln xmlns:a="http://schemas.openxmlformats.org/drawingml/2006/main">
              <a:prstDash val="solid"/>
            </a:ln>
          </spPr>
          <cat>
            <numRef>
              <f>'Stall Takings'!$B$5:$B$14</f>
            </numRef>
          </cat>
          <val>
            <numRef>
              <f>'Stall Takings'!$L$5:$L$14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5" customWidth="1" min="3" max="3"/>
    <col width="13" customWidth="1" min="4" max="4"/>
    <col width="13" customWidth="1" min="5" max="5"/>
    <col width="15" customWidth="1" min="6" max="6"/>
    <col width="15" customWidth="1" min="7" max="7"/>
    <col width="15" customWidth="1" min="8" max="8"/>
    <col width="17" customWidth="1" min="9" max="9"/>
    <col width="14" customWidth="1" min="10" max="10"/>
    <col width="14" customWidth="1" min="11" max="11"/>
    <col width="14" customWidth="1" min="12" max="12"/>
    <col width="14" customWidth="1" min="13" max="13"/>
    <col width="15" customWidth="1" min="14" max="14"/>
    <col width="15" customWidth="1" min="15" max="15"/>
    <col width="14" customWidth="1" min="16" max="16"/>
    <col width="10" customWidth="1" min="17" max="17"/>
    <col width="13" customWidth="1" min="18" max="18"/>
  </cols>
  <sheetData>
    <row r="1" ht="26" customHeight="1">
      <c r="A1" s="1" t="inlineStr">
        <is>
          <t>National Ploughing Championships 2026 — Stall Takings Register</t>
        </is>
      </c>
    </row>
    <row r="2">
      <c r="A2" s="2" t="inlineStr">
        <is>
          <t>Venue: Ratheniska, Co. Laois  |  Event dates: 22-24/09/2026</t>
        </is>
      </c>
    </row>
    <row r="3"/>
    <row r="4">
      <c r="A4" s="3" t="inlineStr">
        <is>
          <t>Stall No</t>
        </is>
      </c>
      <c r="B4" s="3" t="inlineStr">
        <is>
          <t>Stall Name</t>
        </is>
      </c>
      <c r="C4" s="3" t="inlineStr">
        <is>
          <t>Category</t>
        </is>
      </c>
      <c r="D4" s="3" t="inlineStr">
        <is>
          <t>Date</t>
        </is>
      </c>
      <c r="E4" s="3" t="inlineStr">
        <is>
          <t>Pitch Fee (€)</t>
        </is>
      </c>
      <c r="F4" s="3" t="inlineStr">
        <is>
          <t>Cash Takings (€)</t>
        </is>
      </c>
      <c r="G4" s="3" t="inlineStr">
        <is>
          <t>Card Takings (€)</t>
        </is>
      </c>
      <c r="H4" s="3" t="inlineStr">
        <is>
          <t>Total Takings (€)</t>
        </is>
      </c>
      <c r="I4" s="3" t="inlineStr">
        <is>
          <t>Stock/Goods Cost (€)</t>
        </is>
      </c>
      <c r="J4" s="3" t="inlineStr">
        <is>
          <t>Staff Wages (€)</t>
        </is>
      </c>
      <c r="K4" s="3" t="inlineStr">
        <is>
          <t>Total Costs (€)</t>
        </is>
      </c>
      <c r="L4" s="3" t="inlineStr">
        <is>
          <t>Net Profit (€)</t>
        </is>
      </c>
      <c r="M4" s="3" t="inlineStr">
        <is>
          <t>Profit Margin %</t>
        </is>
      </c>
      <c r="N4" s="3" t="inlineStr">
        <is>
          <t>Sales Target (€)</t>
        </is>
      </c>
      <c r="O4" s="3" t="inlineStr">
        <is>
          <t>Target Achieved %</t>
        </is>
      </c>
      <c r="P4" s="3" t="inlineStr">
        <is>
          <t>Status</t>
        </is>
      </c>
      <c r="Q4" s="3" t="inlineStr">
        <is>
          <t>VAT Rate</t>
        </is>
      </c>
      <c r="R4" s="3" t="inlineStr">
        <is>
          <t>VAT Due (€)</t>
        </is>
      </c>
    </row>
    <row r="5">
      <c r="A5" s="4" t="n">
        <v>1</v>
      </c>
      <c r="B5" s="5" t="inlineStr">
        <is>
          <t>Aoife's Farm Fudge</t>
        </is>
      </c>
      <c r="C5" s="4" t="inlineStr">
        <is>
          <t>Food &amp; Drink</t>
        </is>
      </c>
      <c r="D5" s="6" t="inlineStr">
        <is>
          <t>22/09/2026</t>
        </is>
      </c>
      <c r="E5" s="7" t="n">
        <v>180</v>
      </c>
      <c r="F5" s="7" t="n">
        <v>640</v>
      </c>
      <c r="G5" s="7" t="n">
        <v>410</v>
      </c>
      <c r="H5" s="8">
        <f>F5+G5</f>
        <v/>
      </c>
      <c r="I5" s="7" t="n">
        <v>90</v>
      </c>
      <c r="J5" s="7" t="n">
        <v>120</v>
      </c>
      <c r="K5" s="8">
        <f>E5+I5+J5</f>
        <v/>
      </c>
      <c r="L5" s="8">
        <f>H5-K5</f>
        <v/>
      </c>
      <c r="M5" s="9">
        <f>IFERROR(L5/H5,0)</f>
        <v/>
      </c>
      <c r="N5" s="7" t="n">
        <v>700</v>
      </c>
      <c r="O5" s="9">
        <f>IFERROR(H5/N5,0)</f>
        <v/>
      </c>
      <c r="P5" s="4">
        <f>IF(H5&gt;=N5,"Target Met","Below Target")</f>
        <v/>
      </c>
      <c r="Q5" s="10" t="n">
        <v>0.23</v>
      </c>
      <c r="R5" s="8">
        <f>ROUND(H5-H5/(1+Q5),2)</f>
        <v/>
      </c>
    </row>
    <row r="6">
      <c r="A6" s="11" t="n">
        <v>2</v>
      </c>
      <c r="B6" s="12" t="inlineStr">
        <is>
          <t>Cian's Craft Beer</t>
        </is>
      </c>
      <c r="C6" s="11" t="inlineStr">
        <is>
          <t>Food &amp; Drink</t>
        </is>
      </c>
      <c r="D6" s="13" t="inlineStr">
        <is>
          <t>22/09/2026</t>
        </is>
      </c>
      <c r="E6" s="7" t="n">
        <v>220</v>
      </c>
      <c r="F6" s="7" t="n">
        <v>890</v>
      </c>
      <c r="G6" s="7" t="n">
        <v>720</v>
      </c>
      <c r="H6" s="14">
        <f>F6+G6</f>
        <v/>
      </c>
      <c r="I6" s="7" t="n">
        <v>210</v>
      </c>
      <c r="J6" s="7" t="n">
        <v>150</v>
      </c>
      <c r="K6" s="14">
        <f>E6+I6+J6</f>
        <v/>
      </c>
      <c r="L6" s="14">
        <f>H6-K6</f>
        <v/>
      </c>
      <c r="M6" s="15">
        <f>IFERROR(L6/H6,0)</f>
        <v/>
      </c>
      <c r="N6" s="7" t="n">
        <v>1400</v>
      </c>
      <c r="O6" s="15">
        <f>IFERROR(H6/N6,0)</f>
        <v/>
      </c>
      <c r="P6" s="11">
        <f>IF(H6&gt;=N6,"Target Met","Below Target")</f>
        <v/>
      </c>
      <c r="Q6" s="10" t="n">
        <v>0.23</v>
      </c>
      <c r="R6" s="14">
        <f>ROUND(H6-H6/(1+Q6),2)</f>
        <v/>
      </c>
    </row>
    <row r="7">
      <c r="A7" s="4" t="n">
        <v>3</v>
      </c>
      <c r="B7" s="5" t="inlineStr">
        <is>
          <t>Tullamore Tack &amp; Leather</t>
        </is>
      </c>
      <c r="C7" s="4" t="inlineStr">
        <is>
          <t>Craft</t>
        </is>
      </c>
      <c r="D7" s="6" t="inlineStr">
        <is>
          <t>22/09/2026</t>
        </is>
      </c>
      <c r="E7" s="7" t="n">
        <v>200</v>
      </c>
      <c r="F7" s="7" t="n">
        <v>510</v>
      </c>
      <c r="G7" s="7" t="n">
        <v>340</v>
      </c>
      <c r="H7" s="8">
        <f>F7+G7</f>
        <v/>
      </c>
      <c r="I7" s="7" t="n">
        <v>260</v>
      </c>
      <c r="J7" s="7" t="n">
        <v>100</v>
      </c>
      <c r="K7" s="8">
        <f>E7+I7+J7</f>
        <v/>
      </c>
      <c r="L7" s="8">
        <f>H7-K7</f>
        <v/>
      </c>
      <c r="M7" s="9">
        <f>IFERROR(L7/H7,0)</f>
        <v/>
      </c>
      <c r="N7" s="7" t="n">
        <v>900</v>
      </c>
      <c r="O7" s="9">
        <f>IFERROR(H7/N7,0)</f>
        <v/>
      </c>
      <c r="P7" s="4">
        <f>IF(H7&gt;=N7,"Target Met","Below Target")</f>
        <v/>
      </c>
      <c r="Q7" s="10" t="n">
        <v>0.23</v>
      </c>
      <c r="R7" s="8">
        <f>ROUND(H7-H7/(1+Q7),2)</f>
        <v/>
      </c>
    </row>
    <row r="8">
      <c r="A8" s="11" t="n">
        <v>4</v>
      </c>
      <c r="B8" s="12" t="inlineStr">
        <is>
          <t>Niamh's Knitwear</t>
        </is>
      </c>
      <c r="C8" s="11" t="inlineStr">
        <is>
          <t>Clothing</t>
        </is>
      </c>
      <c r="D8" s="13" t="inlineStr">
        <is>
          <t>23/09/2026</t>
        </is>
      </c>
      <c r="E8" s="7" t="n">
        <v>190</v>
      </c>
      <c r="F8" s="7" t="n">
        <v>460</v>
      </c>
      <c r="G8" s="7" t="n">
        <v>380</v>
      </c>
      <c r="H8" s="14">
        <f>F8+G8</f>
        <v/>
      </c>
      <c r="I8" s="7" t="n">
        <v>180</v>
      </c>
      <c r="J8" s="7" t="n">
        <v>90</v>
      </c>
      <c r="K8" s="14">
        <f>E8+I8+J8</f>
        <v/>
      </c>
      <c r="L8" s="14">
        <f>H8-K8</f>
        <v/>
      </c>
      <c r="M8" s="15">
        <f>IFERROR(L8/H8,0)</f>
        <v/>
      </c>
      <c r="N8" s="7" t="n">
        <v>850</v>
      </c>
      <c r="O8" s="15">
        <f>IFERROR(H8/N8,0)</f>
        <v/>
      </c>
      <c r="P8" s="11">
        <f>IF(H8&gt;=N8,"Target Met","Below Target")</f>
        <v/>
      </c>
      <c r="Q8" s="10" t="n">
        <v>0.23</v>
      </c>
      <c r="R8" s="14">
        <f>ROUND(H8-H8/(1+Q8),2)</f>
        <v/>
      </c>
    </row>
    <row r="9">
      <c r="A9" s="4" t="n">
        <v>5</v>
      </c>
      <c r="B9" s="5" t="inlineStr">
        <is>
          <t>Galway Hide Boots</t>
        </is>
      </c>
      <c r="C9" s="4" t="inlineStr">
        <is>
          <t>Clothing</t>
        </is>
      </c>
      <c r="D9" s="6" t="inlineStr">
        <is>
          <t>23/09/2026</t>
        </is>
      </c>
      <c r="E9" s="7" t="n">
        <v>210</v>
      </c>
      <c r="F9" s="7" t="n">
        <v>720</v>
      </c>
      <c r="G9" s="7" t="n">
        <v>610</v>
      </c>
      <c r="H9" s="8">
        <f>F9+G9</f>
        <v/>
      </c>
      <c r="I9" s="7" t="n">
        <v>340</v>
      </c>
      <c r="J9" s="7" t="n">
        <v>120</v>
      </c>
      <c r="K9" s="8">
        <f>E9+I9+J9</f>
        <v/>
      </c>
      <c r="L9" s="8">
        <f>H9-K9</f>
        <v/>
      </c>
      <c r="M9" s="9">
        <f>IFERROR(L9/H9,0)</f>
        <v/>
      </c>
      <c r="N9" s="7" t="n">
        <v>1200</v>
      </c>
      <c r="O9" s="9">
        <f>IFERROR(H9/N9,0)</f>
        <v/>
      </c>
      <c r="P9" s="4">
        <f>IF(H9&gt;=N9,"Target Met","Below Target")</f>
        <v/>
      </c>
      <c r="Q9" s="10" t="n">
        <v>0.23</v>
      </c>
      <c r="R9" s="8">
        <f>ROUND(H9-H9/(1+Q9),2)</f>
        <v/>
      </c>
    </row>
    <row r="10">
      <c r="A10" s="11" t="n">
        <v>6</v>
      </c>
      <c r="B10" s="12" t="inlineStr">
        <is>
          <t>Conor's Country BBQ</t>
        </is>
      </c>
      <c r="C10" s="11" t="inlineStr">
        <is>
          <t>Food &amp; Drink</t>
        </is>
      </c>
      <c r="D10" s="13" t="inlineStr">
        <is>
          <t>23/09/2026</t>
        </is>
      </c>
      <c r="E10" s="7" t="n">
        <v>220</v>
      </c>
      <c r="F10" s="7" t="n">
        <v>980</v>
      </c>
      <c r="G10" s="7" t="n">
        <v>650</v>
      </c>
      <c r="H10" s="14">
        <f>F10+G10</f>
        <v/>
      </c>
      <c r="I10" s="7" t="n">
        <v>260</v>
      </c>
      <c r="J10" s="7" t="n">
        <v>160</v>
      </c>
      <c r="K10" s="14">
        <f>E10+I10+J10</f>
        <v/>
      </c>
      <c r="L10" s="14">
        <f>H10-K10</f>
        <v/>
      </c>
      <c r="M10" s="15">
        <f>IFERROR(L10/H10,0)</f>
        <v/>
      </c>
      <c r="N10" s="7" t="n">
        <v>1500</v>
      </c>
      <c r="O10" s="15">
        <f>IFERROR(H10/N10,0)</f>
        <v/>
      </c>
      <c r="P10" s="11">
        <f>IF(H10&gt;=N10,"Target Met","Below Target")</f>
        <v/>
      </c>
      <c r="Q10" s="10" t="n">
        <v>0.135</v>
      </c>
      <c r="R10" s="14">
        <f>ROUND(H10-H10/(1+Q10),2)</f>
        <v/>
      </c>
    </row>
    <row r="11">
      <c r="A11" s="4" t="n">
        <v>7</v>
      </c>
      <c r="B11" s="5" t="inlineStr">
        <is>
          <t>Saoirse's Sweet Treats</t>
        </is>
      </c>
      <c r="C11" s="4" t="inlineStr">
        <is>
          <t>Food &amp; Drink</t>
        </is>
      </c>
      <c r="D11" s="6" t="inlineStr">
        <is>
          <t>24/09/2026</t>
        </is>
      </c>
      <c r="E11" s="7" t="n">
        <v>180</v>
      </c>
      <c r="F11" s="7" t="n">
        <v>430</v>
      </c>
      <c r="G11" s="7" t="n">
        <v>260</v>
      </c>
      <c r="H11" s="8">
        <f>F11+G11</f>
        <v/>
      </c>
      <c r="I11" s="7" t="n">
        <v>110</v>
      </c>
      <c r="J11" s="7" t="n">
        <v>90</v>
      </c>
      <c r="K11" s="8">
        <f>E11+I11+J11</f>
        <v/>
      </c>
      <c r="L11" s="8">
        <f>H11-K11</f>
        <v/>
      </c>
      <c r="M11" s="9">
        <f>IFERROR(L11/H11,0)</f>
        <v/>
      </c>
      <c r="N11" s="7" t="n">
        <v>650</v>
      </c>
      <c r="O11" s="9">
        <f>IFERROR(H11/N11,0)</f>
        <v/>
      </c>
      <c r="P11" s="4">
        <f>IF(H11&gt;=N11,"Target Met","Below Target")</f>
        <v/>
      </c>
      <c r="Q11" s="10" t="n">
        <v>0.135</v>
      </c>
      <c r="R11" s="8">
        <f>ROUND(H11-H11/(1+Q11),2)</f>
        <v/>
      </c>
    </row>
    <row r="12">
      <c r="A12" s="11" t="n">
        <v>8</v>
      </c>
      <c r="B12" s="12" t="inlineStr">
        <is>
          <t>Kilkenny Cheese Co.</t>
        </is>
      </c>
      <c r="C12" s="11" t="inlineStr">
        <is>
          <t>Food &amp; Drink</t>
        </is>
      </c>
      <c r="D12" s="13" t="inlineStr">
        <is>
          <t>24/09/2026</t>
        </is>
      </c>
      <c r="E12" s="7" t="n">
        <v>210</v>
      </c>
      <c r="F12" s="7" t="n">
        <v>610</v>
      </c>
      <c r="G12" s="7" t="n">
        <v>470</v>
      </c>
      <c r="H12" s="14">
        <f>F12+G12</f>
        <v/>
      </c>
      <c r="I12" s="7" t="n">
        <v>190</v>
      </c>
      <c r="J12" s="7" t="n">
        <v>110</v>
      </c>
      <c r="K12" s="14">
        <f>E12+I12+J12</f>
        <v/>
      </c>
      <c r="L12" s="14">
        <f>H12-K12</f>
        <v/>
      </c>
      <c r="M12" s="15">
        <f>IFERROR(L12/H12,0)</f>
        <v/>
      </c>
      <c r="N12" s="7" t="n">
        <v>950</v>
      </c>
      <c r="O12" s="15">
        <f>IFERROR(H12/N12,0)</f>
        <v/>
      </c>
      <c r="P12" s="11">
        <f>IF(H12&gt;=N12,"Target Met","Below Target")</f>
        <v/>
      </c>
      <c r="Q12" s="10" t="n">
        <v>0.09</v>
      </c>
      <c r="R12" s="14">
        <f>ROUND(H12-H12/(1+Q12),2)</f>
        <v/>
      </c>
    </row>
    <row r="13">
      <c r="A13" s="4" t="n">
        <v>9</v>
      </c>
      <c r="B13" s="5" t="inlineStr">
        <is>
          <t>Waterford Wellies &amp; Wax</t>
        </is>
      </c>
      <c r="C13" s="4" t="inlineStr">
        <is>
          <t>Clothing</t>
        </is>
      </c>
      <c r="D13" s="6" t="inlineStr">
        <is>
          <t>24/09/2026</t>
        </is>
      </c>
      <c r="E13" s="7" t="n">
        <v>200</v>
      </c>
      <c r="F13" s="7" t="n">
        <v>540</v>
      </c>
      <c r="G13" s="7" t="n">
        <v>400</v>
      </c>
      <c r="H13" s="8">
        <f>F13+G13</f>
        <v/>
      </c>
      <c r="I13" s="7" t="n">
        <v>220</v>
      </c>
      <c r="J13" s="7" t="n">
        <v>100</v>
      </c>
      <c r="K13" s="8">
        <f>E13+I13+J13</f>
        <v/>
      </c>
      <c r="L13" s="8">
        <f>H13-K13</f>
        <v/>
      </c>
      <c r="M13" s="9">
        <f>IFERROR(L13/H13,0)</f>
        <v/>
      </c>
      <c r="N13" s="7" t="n">
        <v>850</v>
      </c>
      <c r="O13" s="9">
        <f>IFERROR(H13/N13,0)</f>
        <v/>
      </c>
      <c r="P13" s="4">
        <f>IF(H13&gt;=N13,"Target Met","Below Target")</f>
        <v/>
      </c>
      <c r="Q13" s="10" t="n">
        <v>0.23</v>
      </c>
      <c r="R13" s="8">
        <f>ROUND(H13-H13/(1+Q13),2)</f>
        <v/>
      </c>
    </row>
    <row r="14">
      <c r="A14" s="11" t="n">
        <v>10</v>
      </c>
      <c r="B14" s="12" t="inlineStr">
        <is>
          <t>Limerick Livestock Feed</t>
        </is>
      </c>
      <c r="C14" s="11" t="inlineStr">
        <is>
          <t>Machinery</t>
        </is>
      </c>
      <c r="D14" s="13" t="inlineStr">
        <is>
          <t>24/09/2026</t>
        </is>
      </c>
      <c r="E14" s="7" t="n">
        <v>230</v>
      </c>
      <c r="F14" s="7" t="n">
        <v>760</v>
      </c>
      <c r="G14" s="7" t="n">
        <v>580</v>
      </c>
      <c r="H14" s="14">
        <f>F14+G14</f>
        <v/>
      </c>
      <c r="I14" s="7" t="n">
        <v>320</v>
      </c>
      <c r="J14" s="7" t="n">
        <v>130</v>
      </c>
      <c r="K14" s="14">
        <f>E14+I14+J14</f>
        <v/>
      </c>
      <c r="L14" s="14">
        <f>H14-K14</f>
        <v/>
      </c>
      <c r="M14" s="15">
        <f>IFERROR(L14/H14,0)</f>
        <v/>
      </c>
      <c r="N14" s="7" t="n">
        <v>1250</v>
      </c>
      <c r="O14" s="15">
        <f>IFERROR(H14/N14,0)</f>
        <v/>
      </c>
      <c r="P14" s="11">
        <f>IF(H14&gt;=N14,"Target Met","Below Target")</f>
        <v/>
      </c>
      <c r="Q14" s="10" t="n">
        <v>0.23</v>
      </c>
      <c r="R14" s="14">
        <f>ROUND(H14-H14/(1+Q14),2)</f>
        <v/>
      </c>
    </row>
    <row r="15">
      <c r="A15" s="16" t="n"/>
      <c r="B15" s="16" t="inlineStr">
        <is>
          <t>TOTALS / AVERAGES</t>
        </is>
      </c>
      <c r="C15" s="16" t="n"/>
      <c r="D15" s="16" t="n"/>
      <c r="E15" s="17">
        <f>SUM(E5:E14)</f>
        <v/>
      </c>
      <c r="F15" s="17">
        <f>SUM(F5:F14)</f>
        <v/>
      </c>
      <c r="G15" s="17">
        <f>SUM(G5:G14)</f>
        <v/>
      </c>
      <c r="H15" s="17">
        <f>SUM(H5:H14)</f>
        <v/>
      </c>
      <c r="I15" s="17">
        <f>SUM(I5:I14)</f>
        <v/>
      </c>
      <c r="J15" s="17">
        <f>SUM(J5:J14)</f>
        <v/>
      </c>
      <c r="K15" s="17">
        <f>SUM(K5:K14)</f>
        <v/>
      </c>
      <c r="L15" s="17">
        <f>SUM(L5:L14)</f>
        <v/>
      </c>
      <c r="M15" s="18">
        <f>AVERAGE(M5:M14)</f>
        <v/>
      </c>
      <c r="N15" s="17">
        <f>SUM(N5:N14)</f>
        <v/>
      </c>
      <c r="O15" s="18">
        <f>AVERAGE(O5:O14)</f>
        <v/>
      </c>
      <c r="P15" s="16">
        <f>COUNTIF(P5:P14,"Target Met")&amp;" of "&amp;COUNTA(P5:P14)&amp;" met"</f>
        <v/>
      </c>
      <c r="Q15" s="16" t="n"/>
      <c r="R15" s="17">
        <f>SUM(R5:R14)</f>
        <v/>
      </c>
    </row>
  </sheetData>
  <mergeCells count="2">
    <mergeCell ref="A1:R1"/>
    <mergeCell ref="A2:R2"/>
  </mergeCells>
  <conditionalFormatting sqref="L5:L14">
    <cfRule type="expression" priority="1" dxfId="0" stopIfTrue="1">
      <formula>L5&lt;0</formula>
    </cfRule>
    <cfRule type="expression" priority="2" dxfId="1" stopIfTrue="1">
      <formula>L5&gt;=0</formula>
    </cfRule>
  </conditionalFormatting>
  <conditionalFormatting sqref="P5:P14">
    <cfRule type="expression" priority="3" dxfId="0" stopIfTrue="1">
      <formula>P5="Below Target"</formula>
    </cfRule>
  </conditionalFormatting>
  <dataValidations count="2">
    <dataValidation sqref="C5:C14" showErrorMessage="1" showInputMessage="1" allowBlank="1" type="list">
      <formula1>"Food &amp; Drink,Craft,Clothing,Machinery,Livestock Supplies"</formula1>
    </dataValidation>
    <dataValidation sqref="Q5:Q14" showErrorMessage="1" showInputMessage="1" allowBlank="1" type="list">
      <formula1>"0.23,0.135,0.09,0"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 ht="26" customHeight="1">
      <c r="A1" s="19" t="inlineStr">
        <is>
          <t>Ploughing Championships — Takings Dashboard</t>
        </is>
      </c>
    </row>
    <row r="2"/>
    <row r="3">
      <c r="A3" s="20" t="inlineStr">
        <is>
          <t>Key Metrics</t>
        </is>
      </c>
    </row>
    <row r="4">
      <c r="A4" s="21" t="inlineStr">
        <is>
          <t>Total Cash Takings (€)</t>
        </is>
      </c>
      <c r="B4" s="22">
        <f>SUM('Stall Takings'!F5:F14)</f>
        <v/>
      </c>
    </row>
    <row r="5">
      <c r="A5" s="23" t="inlineStr">
        <is>
          <t>Total Card Takings (€)</t>
        </is>
      </c>
      <c r="B5" s="24">
        <f>SUM('Stall Takings'!G5:G14)</f>
        <v/>
      </c>
    </row>
    <row r="6">
      <c r="A6" s="21" t="inlineStr">
        <is>
          <t>Total Takings (€)</t>
        </is>
      </c>
      <c r="B6" s="22">
        <f>SUM('Stall Takings'!H5:H14)</f>
        <v/>
      </c>
    </row>
    <row r="7">
      <c r="A7" s="23" t="inlineStr">
        <is>
          <t>Total Costs (€)</t>
        </is>
      </c>
      <c r="B7" s="24">
        <f>SUM('Stall Takings'!K5:K14)</f>
        <v/>
      </c>
    </row>
    <row r="8">
      <c r="A8" s="21" t="inlineStr">
        <is>
          <t>Total Net Profit (€)</t>
        </is>
      </c>
      <c r="B8" s="22">
        <f>SUM('Stall Takings'!L5:L14)</f>
        <v/>
      </c>
    </row>
    <row r="9">
      <c r="A9" s="23" t="inlineStr">
        <is>
          <t>Average Profit Margin</t>
        </is>
      </c>
      <c r="B9" s="25">
        <f>AVERAGE('Stall Takings'!M5:M14)</f>
        <v/>
      </c>
    </row>
    <row r="10">
      <c r="A10" s="21" t="inlineStr">
        <is>
          <t>Total VAT Due (€)</t>
        </is>
      </c>
      <c r="B10" s="22">
        <f>SUM('Stall Takings'!R5:R14)</f>
        <v/>
      </c>
    </row>
    <row r="11">
      <c r="A11" s="23" t="inlineStr">
        <is>
          <t>Stalls Meeting Target</t>
        </is>
      </c>
      <c r="B11" s="26">
        <f>COUNTIF('Stall Takings'!P5:P14,"Target Met")&amp;" of "&amp;COUNTA('Stall Takings'!P5:P14)</f>
        <v/>
      </c>
    </row>
    <row r="12"/>
    <row r="13"/>
    <row r="14">
      <c r="A14" s="20" t="inlineStr">
        <is>
          <t>Stall Lookup Tool</t>
        </is>
      </c>
    </row>
    <row r="15">
      <c r="A15" s="27" t="inlineStr">
        <is>
          <t>Enter Stall Name:</t>
        </is>
      </c>
      <c r="B15" s="28" t="inlineStr">
        <is>
          <t>Cian's Craft Beer</t>
        </is>
      </c>
    </row>
    <row r="16">
      <c r="A16" s="29" t="inlineStr">
        <is>
          <t>Category</t>
        </is>
      </c>
      <c r="B16" s="30">
        <f>IFERROR(VLOOKUP($B$15,'Stall Takings'!$B$5:$R$14,2,FALSE),"Not found")</f>
        <v/>
      </c>
    </row>
    <row r="17">
      <c r="A17" s="29" t="inlineStr">
        <is>
          <t>Total Takings (€)</t>
        </is>
      </c>
      <c r="B17" s="31">
        <f>IFERROR(VLOOKUP($B$15,'Stall Takings'!$B$5:$R$14,7,FALSE),"Not found")</f>
        <v/>
      </c>
    </row>
    <row r="18">
      <c r="A18" s="29" t="inlineStr">
        <is>
          <t>Net Profit (€)</t>
        </is>
      </c>
      <c r="B18" s="31">
        <f>IFERROR(VLOOKUP($B$15,'Stall Takings'!$B$5:$R$14,11,FALSE),"Not found")</f>
        <v/>
      </c>
    </row>
    <row r="19">
      <c r="A19" s="29" t="inlineStr">
        <is>
          <t>Profit Margin %</t>
        </is>
      </c>
      <c r="B19" s="32">
        <f>IFERROR(VLOOKUP($B$15,'Stall Takings'!$B$5:$R$14,12,FALSE),"Not found")</f>
        <v/>
      </c>
    </row>
    <row r="20">
      <c r="A20" s="29" t="inlineStr">
        <is>
          <t>Status</t>
        </is>
      </c>
      <c r="B20" s="30">
        <f>IFERROR(VLOOKUP($B$15,'Stall Takings'!$B$5:$R$14,15,FALSE),"Not found")</f>
        <v/>
      </c>
    </row>
  </sheetData>
  <mergeCells count="3">
    <mergeCell ref="A1:H1"/>
    <mergeCell ref="A3:B3"/>
    <mergeCell ref="A14:B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6" customHeight="1">
      <c r="A1" s="19" t="inlineStr">
        <is>
          <t>Instructions — Ploughing Championships Stall Takings</t>
        </is>
      </c>
    </row>
    <row r="2"/>
    <row r="3" ht="34" customHeight="1">
      <c r="A3" s="33" t="inlineStr">
        <is>
          <t>Overview</t>
        </is>
      </c>
      <c r="B3" s="34" t="inlineStr">
        <is>
          <t>This workbook tracks daily takings, costs and profit for stalls trading at the National Ploughing Championships.</t>
        </is>
      </c>
    </row>
    <row r="4" ht="34" customHeight="1">
      <c r="A4" s="35" t="inlineStr">
        <is>
          <t>Stall Takings sheet</t>
        </is>
      </c>
      <c r="B4" s="36" t="inlineStr">
        <is>
          <t>Enter each stall's cash and card takings, pitch fee, stock cost, staff wages and sales target for each day. Pale yellow cells are for manual entry.</t>
        </is>
      </c>
    </row>
    <row r="5" ht="34" customHeight="1">
      <c r="A5" s="33" t="inlineStr">
        <is>
          <t>Category column</t>
        </is>
      </c>
      <c r="B5" s="34" t="inlineStr">
        <is>
          <t>Use the dropdown list to choose the stall category: Food &amp; Drink, Craft, Clothing, Machinery or Livestock Supplies.</t>
        </is>
      </c>
    </row>
    <row r="6" ht="34" customHeight="1">
      <c r="A6" s="35" t="inlineStr">
        <is>
          <t>VAT Rate column</t>
        </is>
      </c>
      <c r="B6" s="36" t="inlineStr">
        <is>
          <t>Select the applicable VAT rate (23%, 13.5%, 9% or 0%) from the dropdown. VAT Due is calculated automatically from Total Takings.</t>
        </is>
      </c>
    </row>
    <row r="7" ht="34" customHeight="1">
      <c r="A7" s="33" t="inlineStr">
        <is>
          <t>Total Takings</t>
        </is>
      </c>
      <c r="B7" s="34" t="inlineStr">
        <is>
          <t>Automatically calculated as Cash Takings plus Card Takings.</t>
        </is>
      </c>
    </row>
    <row r="8" ht="34" customHeight="1">
      <c r="A8" s="35" t="inlineStr">
        <is>
          <t>Total Costs</t>
        </is>
      </c>
      <c r="B8" s="36" t="inlineStr">
        <is>
          <t>Automatically calculated as Pitch Fee plus Stock/Goods Cost plus Staff Wages.</t>
        </is>
      </c>
    </row>
    <row r="9" ht="34" customHeight="1">
      <c r="A9" s="33" t="inlineStr">
        <is>
          <t>Net Profit</t>
        </is>
      </c>
      <c r="B9" s="34" t="inlineStr">
        <is>
          <t>Automatically calculated as Total Takings minus Total Costs. Green shading shows a profit, red shading shows a loss.</t>
        </is>
      </c>
    </row>
    <row r="10" ht="34" customHeight="1">
      <c r="A10" s="35" t="inlineStr">
        <is>
          <t>Target Achieved %</t>
        </is>
      </c>
      <c r="B10" s="36" t="inlineStr">
        <is>
          <t>Shows Total Takings as a percentage of the Sales Target set for that stall.</t>
        </is>
      </c>
    </row>
    <row r="11" ht="34" customHeight="1">
      <c r="A11" s="33" t="inlineStr">
        <is>
          <t>Status column</t>
        </is>
      </c>
      <c r="B11" s="34" t="inlineStr">
        <is>
          <t>Automatically shows 'Target Met' or 'Below Target' based on whether takings reached the sales target.</t>
        </is>
      </c>
    </row>
    <row r="12" ht="34" customHeight="1">
      <c r="A12" s="35" t="inlineStr">
        <is>
          <t>Dashboard sheet</t>
        </is>
      </c>
      <c r="B12" s="36" t="inlineStr">
        <is>
          <t>Shows overall totals, average profit margin, total VAT due and a stall lookup tool. Type a stall name in the yellow cell to see its results instantly.</t>
        </is>
      </c>
    </row>
    <row r="13" ht="34" customHeight="1">
      <c r="A13" s="33" t="inlineStr">
        <is>
          <t>Charts</t>
        </is>
      </c>
      <c r="B13" s="34" t="inlineStr">
        <is>
          <t>The Dashboard includes a bar chart comparing total takings by stall and a pie chart showing each stall's share of overall net profit.</t>
        </is>
      </c>
    </row>
    <row r="14" ht="34" customHeight="1">
      <c r="A14" s="35" t="inlineStr">
        <is>
          <t>Tip</t>
        </is>
      </c>
      <c r="B14" s="36" t="inlineStr">
        <is>
          <t>Update the Stall Takings sheet daily during the event — all totals, percentages and charts on the Dashboard update automatically.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2026-07-21T17:07:01Z</dcterms:created>
  <dcterms:modified xmlns:dcterms="http://purl.org/dc/terms/" xmlns:xsi="http://www.w3.org/2001/XMLSchema-instance" xsi:type="dcterms:W3CDTF">2026-07-21T17:07:01Z</dcterms:modified>
</cp:coreProperties>
</file>