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ayroll Calculator" sheetId="1" state="visible" r:id="rId1"/>
    <sheet xmlns:r="http://schemas.openxmlformats.org/officeDocument/2006/relationships" name="Tax Rates &amp; Thresholds" sheetId="2" state="visible" r:id="rId2"/>
    <sheet xmlns:r="http://schemas.openxmlformats.org/officeDocument/2006/relationships" name="Payroll Summary" sheetId="3" state="visible" r:id="rId3"/>
    <sheet xmlns:r="http://schemas.openxmlformats.org/officeDocument/2006/relationships" name="Instruction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DD/MM/YYYY"/>
    <numFmt numFmtId="165" formatCode="&quot;€&quot;#,##0.00"/>
  </numFmts>
  <fonts count="13">
    <font>
      <name val="Calibri"/>
      <family val="2"/>
      <color theme="1"/>
      <sz val="11"/>
      <scheme val="minor"/>
    </font>
    <font>
      <name val="Calibri"/>
      <b val="1"/>
      <color rgb="00FFFFFF"/>
      <sz val="13"/>
    </font>
    <font>
      <name val="Calibri"/>
      <b val="1"/>
      <color rgb="00FFFFFF"/>
      <sz val="11"/>
    </font>
    <font>
      <name val="Calibri"/>
      <sz val="10"/>
    </font>
    <font>
      <name val="Calibri"/>
      <b val="1"/>
      <sz val="10"/>
    </font>
    <font>
      <name val="Calibri"/>
      <b val="1"/>
      <color rgb="00FFFFFF"/>
      <sz val="10"/>
    </font>
    <font>
      <name val="Calibri"/>
      <b val="1"/>
      <color rgb="00FFFFFF"/>
      <sz val="14"/>
    </font>
    <font>
      <name val="Calibri"/>
      <b val="1"/>
      <color rgb="00FFFFFF"/>
      <sz val="9"/>
    </font>
    <font>
      <name val="Calibri"/>
      <b val="1"/>
      <color rgb="00FFFFFF"/>
      <sz val="12"/>
    </font>
    <font>
      <name val="Calibri"/>
      <b val="1"/>
      <color rgb="0092400E"/>
      <sz val="10"/>
    </font>
    <font>
      <name val="Calibri"/>
      <b val="1"/>
      <color rgb="001E293B"/>
      <sz val="10"/>
    </font>
    <font>
      <name val="Calibri"/>
      <sz val="12"/>
    </font>
    <font>
      <name val="Calibri"/>
      <color rgb="00991B1B"/>
      <sz val="10"/>
    </font>
  </fonts>
  <fills count="16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0FDFA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14B8A6"/>
      </patternFill>
    </fill>
    <fill>
      <patternFill patternType="solid">
        <fgColor rgb="00C8102E"/>
      </patternFill>
    </fill>
    <fill>
      <patternFill patternType="solid">
        <fgColor rgb="000F766E"/>
      </patternFill>
    </fill>
    <fill>
      <patternFill patternType="solid">
        <fgColor rgb="00B91C1C"/>
      </patternFill>
    </fill>
    <fill>
      <patternFill patternType="solid">
        <fgColor rgb="0015803D"/>
      </patternFill>
    </fill>
    <fill>
      <patternFill patternType="solid">
        <fgColor rgb="009A3412"/>
      </patternFill>
    </fill>
    <fill>
      <patternFill patternType="solid">
        <fgColor rgb="001D4ED8"/>
      </patternFill>
    </fill>
    <fill>
      <patternFill patternType="solid">
        <fgColor rgb="00374151"/>
      </patternFill>
    </fill>
    <fill>
      <patternFill patternType="solid">
        <fgColor rgb="00FEF3C7"/>
      </patternFill>
    </fill>
    <fill>
      <patternFill patternType="solid">
        <fgColor rgb="00FEE2E2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49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center" vertical="center" wrapText="1"/>
    </xf>
    <xf numFmtId="164" fontId="3" fillId="4" borderId="1" applyAlignment="1" pivotButton="0" quotePrefix="0" xfId="0">
      <alignment horizontal="center" vertical="center" wrapText="1"/>
    </xf>
    <xf numFmtId="165" fontId="3" fillId="4" borderId="1" applyAlignment="1" pivotButton="0" quotePrefix="0" xfId="0">
      <alignment horizontal="right" vertical="center"/>
    </xf>
    <xf numFmtId="165" fontId="3" fillId="3" borderId="1" applyAlignment="1" pivotButton="0" quotePrefix="0" xfId="0">
      <alignment horizontal="right" vertical="center"/>
    </xf>
    <xf numFmtId="165" fontId="4" fillId="3" borderId="1" applyAlignment="1" pivotButton="0" quotePrefix="0" xfId="0">
      <alignment horizontal="right" vertical="center"/>
    </xf>
    <xf numFmtId="0" fontId="3" fillId="5" borderId="1" applyAlignment="1" pivotButton="0" quotePrefix="0" xfId="0">
      <alignment horizontal="left" vertical="center" wrapText="1"/>
    </xf>
    <xf numFmtId="0" fontId="3" fillId="5" borderId="1" applyAlignment="1" pivotButton="0" quotePrefix="0" xfId="0">
      <alignment horizontal="center" vertical="center" wrapText="1"/>
    </xf>
    <xf numFmtId="165" fontId="3" fillId="5" borderId="1" applyAlignment="1" pivotButton="0" quotePrefix="0" xfId="0">
      <alignment horizontal="right" vertical="center"/>
    </xf>
    <xf numFmtId="165" fontId="4" fillId="5" borderId="1" applyAlignment="1" pivotButton="0" quotePrefix="0" xfId="0">
      <alignment horizontal="right" vertical="center"/>
    </xf>
    <xf numFmtId="0" fontId="5" fillId="2" borderId="1" applyAlignment="1" pivotButton="0" quotePrefix="0" xfId="0">
      <alignment horizontal="center" vertical="center" wrapText="1"/>
    </xf>
    <xf numFmtId="165" fontId="5" fillId="2" borderId="1" applyAlignment="1" pivotButton="0" quotePrefix="0" xfId="0">
      <alignment horizontal="right" vertical="center"/>
    </xf>
    <xf numFmtId="0" fontId="5" fillId="6" borderId="1" applyAlignment="1" pivotButton="0" quotePrefix="0" xfId="0">
      <alignment horizontal="center" vertical="center" wrapText="1"/>
    </xf>
    <xf numFmtId="165" fontId="5" fillId="6" borderId="1" applyAlignment="1" pivotButton="0" quotePrefix="0" xfId="0">
      <alignment horizontal="right" vertical="center"/>
    </xf>
    <xf numFmtId="0" fontId="4" fillId="3" borderId="1" pivotButton="0" quotePrefix="0" xfId="0"/>
    <xf numFmtId="10" fontId="3" fillId="5" borderId="1" applyAlignment="1" pivotButton="0" quotePrefix="0" xfId="0">
      <alignment horizontal="right" vertical="center"/>
    </xf>
    <xf numFmtId="0" fontId="2" fillId="7" borderId="1" applyAlignment="1" pivotButton="0" quotePrefix="0" xfId="0">
      <alignment horizontal="left" vertical="center" wrapText="1"/>
    </xf>
    <xf numFmtId="0" fontId="2" fillId="7" borderId="1" applyAlignment="1" pivotButton="0" quotePrefix="0" xfId="0">
      <alignment horizontal="center" vertical="center" wrapText="1"/>
    </xf>
    <xf numFmtId="10" fontId="3" fillId="4" borderId="1" applyAlignment="1" pivotButton="0" quotePrefix="0" xfId="0">
      <alignment horizontal="right" vertical="center"/>
    </xf>
    <xf numFmtId="0" fontId="2" fillId="6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4" fillId="3" borderId="1" applyAlignment="1" pivotButton="0" quotePrefix="0" xfId="0">
      <alignment horizontal="left" vertical="center" wrapText="1"/>
    </xf>
    <xf numFmtId="0" fontId="6" fillId="2" borderId="0" applyAlignment="1" pivotButton="0" quotePrefix="0" xfId="0">
      <alignment horizontal="center" vertical="center" wrapText="1"/>
    </xf>
    <xf numFmtId="0" fontId="7" fillId="8" borderId="1" applyAlignment="1" pivotButton="0" quotePrefix="0" xfId="0">
      <alignment horizontal="center" vertical="center" wrapText="1"/>
    </xf>
    <xf numFmtId="0" fontId="7" fillId="9" borderId="1" applyAlignment="1" pivotButton="0" quotePrefix="0" xfId="0">
      <alignment horizontal="center" vertical="center" wrapText="1"/>
    </xf>
    <xf numFmtId="0" fontId="7" fillId="10" borderId="1" applyAlignment="1" pivotButton="0" quotePrefix="0" xfId="0">
      <alignment horizontal="center" vertical="center" wrapText="1"/>
    </xf>
    <xf numFmtId="165" fontId="8" fillId="8" borderId="1" applyAlignment="1" pivotButton="0" quotePrefix="0" xfId="0">
      <alignment horizontal="center" vertical="center" wrapText="1"/>
    </xf>
    <xf numFmtId="165" fontId="8" fillId="9" borderId="1" applyAlignment="1" pivotButton="0" quotePrefix="0" xfId="0">
      <alignment horizontal="center" vertical="center" wrapText="1"/>
    </xf>
    <xf numFmtId="165" fontId="8" fillId="10" borderId="1" applyAlignment="1" pivotButton="0" quotePrefix="0" xfId="0">
      <alignment horizontal="center" vertical="center" wrapText="1"/>
    </xf>
    <xf numFmtId="0" fontId="7" fillId="11" borderId="1" applyAlignment="1" pivotButton="0" quotePrefix="0" xfId="0">
      <alignment horizontal="center" vertical="center" wrapText="1"/>
    </xf>
    <xf numFmtId="0" fontId="7" fillId="12" borderId="1" applyAlignment="1" pivotButton="0" quotePrefix="0" xfId="0">
      <alignment horizontal="center" vertical="center" wrapText="1"/>
    </xf>
    <xf numFmtId="0" fontId="7" fillId="13" borderId="1" applyAlignment="1" pivotButton="0" quotePrefix="0" xfId="0">
      <alignment horizontal="center" vertical="center" wrapText="1"/>
    </xf>
    <xf numFmtId="165" fontId="8" fillId="11" borderId="1" applyAlignment="1" pivotButton="0" quotePrefix="0" xfId="0">
      <alignment horizontal="center" vertical="center" wrapText="1"/>
    </xf>
    <xf numFmtId="165" fontId="8" fillId="12" borderId="1" applyAlignment="1" pivotButton="0" quotePrefix="0" xfId="0">
      <alignment horizontal="center" vertical="center" wrapText="1"/>
    </xf>
    <xf numFmtId="0" fontId="8" fillId="13" borderId="1" applyAlignment="1" pivotButton="0" quotePrefix="0" xfId="0">
      <alignment horizontal="center" vertical="center" wrapText="1"/>
    </xf>
    <xf numFmtId="0" fontId="2" fillId="6" borderId="1" pivotButton="0" quotePrefix="0" xfId="0"/>
    <xf numFmtId="10" fontId="3" fillId="3" borderId="1" applyAlignment="1" pivotButton="0" quotePrefix="0" xfId="0">
      <alignment horizontal="right" vertical="center"/>
    </xf>
    <xf numFmtId="0" fontId="4" fillId="0" borderId="0" pivotButton="0" quotePrefix="0" xfId="0"/>
    <xf numFmtId="165" fontId="0" fillId="0" borderId="0" pivotButton="0" quotePrefix="0" xfId="0"/>
    <xf numFmtId="0" fontId="9" fillId="14" borderId="1" applyAlignment="1" pivotButton="0" quotePrefix="0" xfId="0">
      <alignment horizontal="center" vertical="center" wrapText="1"/>
    </xf>
    <xf numFmtId="0" fontId="3" fillId="14" borderId="1" applyAlignment="1" pivotButton="0" quotePrefix="0" xfId="0">
      <alignment horizontal="left" vertical="center" wrapText="1"/>
    </xf>
    <xf numFmtId="0" fontId="10" fillId="3" borderId="1" applyAlignment="1" pivotButton="0" quotePrefix="0" xfId="0">
      <alignment horizontal="center" vertical="center" wrapText="1"/>
    </xf>
    <xf numFmtId="0" fontId="11" fillId="15" borderId="1" applyAlignment="1" pivotButton="0" quotePrefix="0" xfId="0">
      <alignment horizontal="center" vertical="center" wrapText="1"/>
    </xf>
    <xf numFmtId="0" fontId="12" fillId="15" borderId="1" applyAlignment="1" pivotButton="0" quotePrefix="0" xfId="0">
      <alignment horizontal="left" vertical="center" wrapText="1"/>
    </xf>
    <xf numFmtId="0" fontId="0" fillId="0" borderId="4" pivotButton="0" quotePrefix="0" xfId="0"/>
    <xf numFmtId="0" fontId="0" fillId="0" borderId="5" pivotButton="0" quotePrefix="0" xfId="0"/>
  </cellXfs>
  <cellStyles count="1">
    <cellStyle name="Normal" xfId="0" builtinId="0" hidden="0"/>
  </cellStyles>
  <dxfs count="1">
    <dxf>
      <font>
        <b val="1"/>
        <color rgb="00DC2626"/>
      </font>
      <fill>
        <patternFill patternType="solid">
          <fgColor rgb="00FECACA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Gross Pay vs Net Pay by Employee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'Payroll Summary'!B23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'Payroll Summary'!$A$24:$A$32</f>
            </numRef>
          </cat>
          <val>
            <numRef>
              <f>'Payroll Summary'!$B$24:$B$32</f>
            </numRef>
          </val>
        </ser>
        <ser>
          <idx val="1"/>
          <order val="1"/>
          <tx>
            <strRef>
              <f>'Payroll Summary'!C23</f>
            </strRef>
          </tx>
          <spPr>
            <a:solidFill xmlns:a="http://schemas.openxmlformats.org/drawingml/2006/main">
              <a:srgbClr val="22C55E"/>
            </a:solidFill>
            <a:ln xmlns:a="http://schemas.openxmlformats.org/drawingml/2006/main">
              <a:prstDash val="solid"/>
            </a:ln>
          </spPr>
          <cat>
            <numRef>
              <f>'Payroll Summary'!$A$24:$A$32</f>
            </numRef>
          </cat>
          <val>
            <numRef>
              <f>'Payroll Summary'!$C$24:$C$32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Employee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Amount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Payroll Composition (% of Gross)</a:t>
            </a:r>
          </a:p>
        </rich>
      </tx>
    </title>
    <plotArea>
      <pieChart>
        <varyColors val="1"/>
        <ser>
          <idx val="0"/>
          <order val="0"/>
          <tx>
            <strRef>
              <f>'Payroll Summary'!F34</f>
            </strRef>
          </tx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B91C1C"/>
              </a:solidFill>
              <a:ln xmlns:a="http://schemas.openxmlformats.org/drawingml/2006/main"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9A3412"/>
              </a:solidFill>
              <a:ln xmlns:a="http://schemas.openxmlformats.org/drawingml/2006/main">
                <a:prstDash val="solid"/>
              </a:ln>
            </spPr>
          </dPt>
          <dPt>
            <idx val="2"/>
            <spPr>
              <a:solidFill xmlns:a="http://schemas.openxmlformats.org/drawingml/2006/main">
                <a:srgbClr val="92400E"/>
              </a:solidFill>
              <a:ln xmlns:a="http://schemas.openxmlformats.org/drawingml/2006/main">
                <a:prstDash val="solid"/>
              </a:ln>
            </spPr>
          </dPt>
          <dPt>
            <idx val="3"/>
            <spPr>
              <a:solidFill xmlns:a="http://schemas.openxmlformats.org/drawingml/2006/main">
                <a:srgbClr val="15803D"/>
              </a:solidFill>
              <a:ln xmlns:a="http://schemas.openxmlformats.org/drawingml/2006/main">
                <a:prstDash val="solid"/>
              </a:ln>
            </spPr>
          </dPt>
          <cat>
            <numRef>
              <f>'Payroll Summary'!$E$35:$E$38</f>
            </numRef>
          </cat>
          <val>
            <numRef>
              <f>'Payroll Summary'!$F$35:$F$38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0</col>
      <colOff>0</colOff>
      <row>34</row>
      <rowOff>0</rowOff>
    </from>
    <ext cx="7920000" cy="50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5</col>
      <colOff>0</colOff>
      <row>34</row>
      <rowOff>0</rowOff>
    </from>
    <ext cx="5760000" cy="50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4"/>
  <sheetViews>
    <sheetView workbookViewId="0">
      <selection activeCell="A1" sqref="A1"/>
    </sheetView>
  </sheetViews>
  <sheetFormatPr baseColWidth="8" defaultRowHeight="15"/>
  <cols>
    <col width="18" customWidth="1" min="1" max="1"/>
    <col width="13" customWidth="1" min="2" max="2"/>
    <col width="12" customWidth="1" min="3" max="3"/>
    <col width="13" customWidth="1" min="4" max="4"/>
    <col width="13" customWidth="1" min="5" max="5"/>
    <col width="13" customWidth="1" min="6" max="6"/>
    <col width="12" customWidth="1" min="7" max="7"/>
    <col width="14" customWidth="1" min="8" max="8"/>
    <col width="13" customWidth="1" min="9" max="9"/>
    <col width="12" customWidth="1" min="10" max="10"/>
    <col width="12" customWidth="1" min="11" max="11"/>
    <col width="13" customWidth="1" min="12" max="12"/>
    <col width="15" customWidth="1" min="13" max="13"/>
    <col width="16" customWidth="1" min="14" max="14"/>
    <col width="20" customWidth="1" min="15" max="15"/>
  </cols>
  <sheetData>
    <row r="1" ht="14" customHeight="1">
      <c r="A1" s="1" t="inlineStr">
        <is>
          <t>PAYE, PRSI &amp; USC Payroll Calculator — Republic of Ireland (2026)</t>
        </is>
      </c>
    </row>
    <row r="2" ht="36" customHeight="1">
      <c r="A2" s="2" t="inlineStr">
        <is>
          <t>Employee Name</t>
        </is>
      </c>
      <c r="B2" s="2" t="inlineStr">
        <is>
          <t>PPS Number</t>
        </is>
      </c>
      <c r="C2" s="2" t="inlineStr">
        <is>
          <t>County</t>
        </is>
      </c>
      <c r="D2" s="2" t="inlineStr">
        <is>
          <t>Pay Date</t>
        </is>
      </c>
      <c r="E2" s="2" t="inlineStr">
        <is>
          <t>Pay Frequency</t>
        </is>
      </c>
      <c r="F2" s="2" t="inlineStr">
        <is>
          <t>Gross Pay €</t>
        </is>
      </c>
      <c r="G2" s="2" t="inlineStr">
        <is>
          <t>Tax Credit €</t>
        </is>
      </c>
      <c r="H2" s="2" t="inlineStr">
        <is>
          <t>Standard Rate
Cut-Off €</t>
        </is>
      </c>
      <c r="I2" s="2" t="inlineStr">
        <is>
          <t>PAYE Tax €</t>
        </is>
      </c>
      <c r="J2" s="2" t="inlineStr">
        <is>
          <t>PRSI €</t>
        </is>
      </c>
      <c r="K2" s="2" t="inlineStr">
        <is>
          <t>USC €</t>
        </is>
      </c>
      <c r="L2" s="2" t="inlineStr">
        <is>
          <t>Net Pay €</t>
        </is>
      </c>
      <c r="M2" s="2" t="inlineStr">
        <is>
          <t>Employer PRSI €</t>
        </is>
      </c>
      <c r="N2" s="2" t="inlineStr">
        <is>
          <t>Total Cost to
Employer €</t>
        </is>
      </c>
      <c r="O2" s="2" t="inlineStr">
        <is>
          <t>Notes</t>
        </is>
      </c>
    </row>
    <row r="3">
      <c r="A3" s="3" t="inlineStr">
        <is>
          <t>Aoife Murphy</t>
        </is>
      </c>
      <c r="B3" s="4" t="inlineStr">
        <is>
          <t>1234567A</t>
        </is>
      </c>
      <c r="C3" s="4" t="inlineStr">
        <is>
          <t>Dublin</t>
        </is>
      </c>
      <c r="D3" s="5" t="inlineStr">
        <is>
          <t>31/01/2026</t>
        </is>
      </c>
      <c r="E3" s="4" t="inlineStr">
        <is>
          <t>Monthly</t>
        </is>
      </c>
      <c r="F3" s="6" t="n">
        <v>3250</v>
      </c>
      <c r="G3" s="6">
        <f>IFERROR(VLOOKUP("Single Monthly Tax Credit",'Tax Rates &amp; Thresholds'!A:B,2,FALSE),291.67)</f>
        <v/>
      </c>
      <c r="H3" s="6">
        <f>IFERROR(VLOOKUP("Standard Rate Cut-Off Monthly",'Tax Rates &amp; Thresholds'!A:B,2,FALSE),3516.67)</f>
        <v/>
      </c>
      <c r="I3" s="7">
        <f>MAX(0,IF(F3&lt;=H3,F3*0.20+0,H3*0.20+(F3-H3)*0.40)-G3)</f>
        <v/>
      </c>
      <c r="J3" s="7">
        <f>IF(F3&lt;352,0,ROUND(F3*0.04,2))</f>
        <v/>
      </c>
      <c r="K3" s="7">
        <f>IFERROR(IF(F3&lt;=13000/12,0,ROUND(MIN(F3,1001)*0.005+MAX(0,MIN(F3,1774.58)-1001)*0.02+MAX(0,MIN(F3,5837)-1774.58)*0.04+MAX(0,F3-5837)*0.08,2)),0)</f>
        <v/>
      </c>
      <c r="L3" s="8">
        <f>F3-I3-J3-K3</f>
        <v/>
      </c>
      <c r="M3" s="7">
        <f>IF(F3&lt;1777,ROUND(F3*0.0870,2),ROUND(F3*0.1105,2))</f>
        <v/>
      </c>
      <c r="N3" s="8">
        <f>F3+M3</f>
        <v/>
      </c>
      <c r="O3" s="3" t="inlineStr">
        <is>
          <t>Class A PRSI. Standard credits applied.</t>
        </is>
      </c>
    </row>
    <row r="4">
      <c r="A4" s="9" t="inlineStr">
        <is>
          <t>Seán Kelly</t>
        </is>
      </c>
      <c r="B4" s="10" t="inlineStr">
        <is>
          <t>2345678B</t>
        </is>
      </c>
      <c r="C4" s="10" t="inlineStr">
        <is>
          <t>Cork</t>
        </is>
      </c>
      <c r="D4" s="5" t="inlineStr">
        <is>
          <t>31/01/2026</t>
        </is>
      </c>
      <c r="E4" s="10" t="inlineStr">
        <is>
          <t>Monthly</t>
        </is>
      </c>
      <c r="F4" s="6" t="n">
        <v>4100</v>
      </c>
      <c r="G4" s="6">
        <f>IFERROR(VLOOKUP("Single Monthly Tax Credit",'Tax Rates &amp; Thresholds'!A:B,2,FALSE),291.67)</f>
        <v/>
      </c>
      <c r="H4" s="6">
        <f>IFERROR(VLOOKUP("Standard Rate Cut-Off Monthly",'Tax Rates &amp; Thresholds'!A:B,2,FALSE),3516.67)</f>
        <v/>
      </c>
      <c r="I4" s="11">
        <f>MAX(0,IF(F4&lt;=H4,F4*0.20+0,H4*0.20+(F4-H4)*0.40)-G4)</f>
        <v/>
      </c>
      <c r="J4" s="11">
        <f>IF(F4&lt;352,0,ROUND(F4*0.04,2))</f>
        <v/>
      </c>
      <c r="K4" s="11">
        <f>IFERROR(IF(F4&lt;=13000/12,0,ROUND(MIN(F4,1001)*0.005+MAX(0,MIN(F4,1774.58)-1001)*0.02+MAX(0,MIN(F4,5837)-1774.58)*0.04+MAX(0,F4-5837)*0.08,2)),0)</f>
        <v/>
      </c>
      <c r="L4" s="12">
        <f>F4-I4-J4-K4</f>
        <v/>
      </c>
      <c r="M4" s="11">
        <f>IF(F4&lt;1777,ROUND(F4*0.0870,2),ROUND(F4*0.1105,2))</f>
        <v/>
      </c>
      <c r="N4" s="12">
        <f>F4+M4</f>
        <v/>
      </c>
      <c r="O4" s="9" t="inlineStr">
        <is>
          <t>Class A PRSI. Standard credits applied.</t>
        </is>
      </c>
    </row>
    <row r="5">
      <c r="A5" s="3" t="inlineStr">
        <is>
          <t>Niamh Byrne</t>
        </is>
      </c>
      <c r="B5" s="4" t="inlineStr">
        <is>
          <t>3456789C</t>
        </is>
      </c>
      <c r="C5" s="4" t="inlineStr">
        <is>
          <t>Galway</t>
        </is>
      </c>
      <c r="D5" s="5" t="inlineStr">
        <is>
          <t>31/01/2026</t>
        </is>
      </c>
      <c r="E5" s="4" t="inlineStr">
        <is>
          <t>Monthly</t>
        </is>
      </c>
      <c r="F5" s="6" t="n">
        <v>2850</v>
      </c>
      <c r="G5" s="6">
        <f>IFERROR(VLOOKUP("Single Monthly Tax Credit",'Tax Rates &amp; Thresholds'!A:B,2,FALSE),291.67)</f>
        <v/>
      </c>
      <c r="H5" s="6">
        <f>IFERROR(VLOOKUP("Standard Rate Cut-Off Monthly",'Tax Rates &amp; Thresholds'!A:B,2,FALSE),3516.67)</f>
        <v/>
      </c>
      <c r="I5" s="7">
        <f>MAX(0,IF(F5&lt;=H5,F5*0.20+0,H5*0.20+(F5-H5)*0.40)-G5)</f>
        <v/>
      </c>
      <c r="J5" s="7">
        <f>IF(F5&lt;352,0,ROUND(F5*0.04,2))</f>
        <v/>
      </c>
      <c r="K5" s="7">
        <f>IFERROR(IF(F5&lt;=13000/12,0,ROUND(MIN(F5,1001)*0.005+MAX(0,MIN(F5,1774.58)-1001)*0.02+MAX(0,MIN(F5,5837)-1774.58)*0.04+MAX(0,F5-5837)*0.08,2)),0)</f>
        <v/>
      </c>
      <c r="L5" s="8">
        <f>F5-I5-J5-K5</f>
        <v/>
      </c>
      <c r="M5" s="7">
        <f>IF(F5&lt;1777,ROUND(F5*0.0870,2),ROUND(F5*0.1105,2))</f>
        <v/>
      </c>
      <c r="N5" s="8">
        <f>F5+M5</f>
        <v/>
      </c>
      <c r="O5" s="3" t="inlineStr">
        <is>
          <t>Class A PRSI. Standard credits applied.</t>
        </is>
      </c>
    </row>
    <row r="6">
      <c r="A6" s="9" t="inlineStr">
        <is>
          <t>Cian O'Connor</t>
        </is>
      </c>
      <c r="B6" s="10" t="inlineStr">
        <is>
          <t>4567890D</t>
        </is>
      </c>
      <c r="C6" s="10" t="inlineStr">
        <is>
          <t>Limerick</t>
        </is>
      </c>
      <c r="D6" s="5" t="inlineStr">
        <is>
          <t>31/01/2026</t>
        </is>
      </c>
      <c r="E6" s="10" t="inlineStr">
        <is>
          <t>Monthly</t>
        </is>
      </c>
      <c r="F6" s="6" t="n">
        <v>5000</v>
      </c>
      <c r="G6" s="6">
        <f>IFERROR(VLOOKUP("Single Monthly Tax Credit",'Tax Rates &amp; Thresholds'!A:B,2,FALSE),291.67)</f>
        <v/>
      </c>
      <c r="H6" s="6">
        <f>IFERROR(VLOOKUP("Standard Rate Cut-Off Monthly",'Tax Rates &amp; Thresholds'!A:B,2,FALSE),3516.67)</f>
        <v/>
      </c>
      <c r="I6" s="11">
        <f>MAX(0,IF(F6&lt;=H6,F6*0.20+0,H6*0.20+(F6-H6)*0.40)-G6)</f>
        <v/>
      </c>
      <c r="J6" s="11">
        <f>IF(F6&lt;352,0,ROUND(F6*0.04,2))</f>
        <v/>
      </c>
      <c r="K6" s="11">
        <f>IFERROR(IF(F6&lt;=13000/12,0,ROUND(MIN(F6,1001)*0.005+MAX(0,MIN(F6,1774.58)-1001)*0.02+MAX(0,MIN(F6,5837)-1774.58)*0.04+MAX(0,F6-5837)*0.08,2)),0)</f>
        <v/>
      </c>
      <c r="L6" s="12">
        <f>F6-I6-J6-K6</f>
        <v/>
      </c>
      <c r="M6" s="11">
        <f>IF(F6&lt;1777,ROUND(F6*0.0870,2),ROUND(F6*0.1105,2))</f>
        <v/>
      </c>
      <c r="N6" s="12">
        <f>F6+M6</f>
        <v/>
      </c>
      <c r="O6" s="9" t="inlineStr">
        <is>
          <t>Class A PRSI. Standard credits applied.</t>
        </is>
      </c>
    </row>
    <row r="7">
      <c r="A7" s="3" t="inlineStr">
        <is>
          <t>Saoirse Walsh</t>
        </is>
      </c>
      <c r="B7" s="4" t="inlineStr">
        <is>
          <t>5678901E</t>
        </is>
      </c>
      <c r="C7" s="4" t="inlineStr">
        <is>
          <t>Waterford</t>
        </is>
      </c>
      <c r="D7" s="5" t="inlineStr">
        <is>
          <t>31/01/2026</t>
        </is>
      </c>
      <c r="E7" s="4" t="inlineStr">
        <is>
          <t>Monthly</t>
        </is>
      </c>
      <c r="F7" s="6" t="n">
        <v>3600</v>
      </c>
      <c r="G7" s="6">
        <f>IFERROR(VLOOKUP("Single Monthly Tax Credit",'Tax Rates &amp; Thresholds'!A:B,2,FALSE),291.67)</f>
        <v/>
      </c>
      <c r="H7" s="6">
        <f>IFERROR(VLOOKUP("Standard Rate Cut-Off Monthly",'Tax Rates &amp; Thresholds'!A:B,2,FALSE),3516.67)</f>
        <v/>
      </c>
      <c r="I7" s="7">
        <f>MAX(0,IF(F7&lt;=H7,F7*0.20+0,H7*0.20+(F7-H7)*0.40)-G7)</f>
        <v/>
      </c>
      <c r="J7" s="7">
        <f>IF(F7&lt;352,0,ROUND(F7*0.04,2))</f>
        <v/>
      </c>
      <c r="K7" s="7">
        <f>IFERROR(IF(F7&lt;=13000/12,0,ROUND(MIN(F7,1001)*0.005+MAX(0,MIN(F7,1774.58)-1001)*0.02+MAX(0,MIN(F7,5837)-1774.58)*0.04+MAX(0,F7-5837)*0.08,2)),0)</f>
        <v/>
      </c>
      <c r="L7" s="8">
        <f>F7-I7-J7-K7</f>
        <v/>
      </c>
      <c r="M7" s="7">
        <f>IF(F7&lt;1777,ROUND(F7*0.0870,2),ROUND(F7*0.1105,2))</f>
        <v/>
      </c>
      <c r="N7" s="8">
        <f>F7+M7</f>
        <v/>
      </c>
      <c r="O7" s="3" t="inlineStr">
        <is>
          <t>Class A PRSI. Standard credits applied.</t>
        </is>
      </c>
    </row>
    <row r="8">
      <c r="A8" s="9" t="inlineStr">
        <is>
          <t>Conor Hogan</t>
        </is>
      </c>
      <c r="B8" s="10" t="inlineStr">
        <is>
          <t>6789012F</t>
        </is>
      </c>
      <c r="C8" s="10" t="inlineStr">
        <is>
          <t>Kilkenny</t>
        </is>
      </c>
      <c r="D8" s="5" t="inlineStr">
        <is>
          <t>31/01/2026</t>
        </is>
      </c>
      <c r="E8" s="10" t="inlineStr">
        <is>
          <t>Monthly</t>
        </is>
      </c>
      <c r="F8" s="6" t="n">
        <v>2400</v>
      </c>
      <c r="G8" s="6">
        <f>IFERROR(VLOOKUP("Single Monthly Tax Credit",'Tax Rates &amp; Thresholds'!A:B,2,FALSE),291.67)</f>
        <v/>
      </c>
      <c r="H8" s="6">
        <f>IFERROR(VLOOKUP("Standard Rate Cut-Off Monthly",'Tax Rates &amp; Thresholds'!A:B,2,FALSE),3516.67)</f>
        <v/>
      </c>
      <c r="I8" s="11">
        <f>MAX(0,IF(F8&lt;=H8,F8*0.20+0,H8*0.20+(F8-H8)*0.40)-G8)</f>
        <v/>
      </c>
      <c r="J8" s="11">
        <f>IF(F8&lt;352,0,ROUND(F8*0.04,2))</f>
        <v/>
      </c>
      <c r="K8" s="11">
        <f>IFERROR(IF(F8&lt;=13000/12,0,ROUND(MIN(F8,1001)*0.005+MAX(0,MIN(F8,1774.58)-1001)*0.02+MAX(0,MIN(F8,5837)-1774.58)*0.04+MAX(0,F8-5837)*0.08,2)),0)</f>
        <v/>
      </c>
      <c r="L8" s="12">
        <f>F8-I8-J8-K8</f>
        <v/>
      </c>
      <c r="M8" s="11">
        <f>IF(F8&lt;1777,ROUND(F8*0.0870,2),ROUND(F8*0.1105,2))</f>
        <v/>
      </c>
      <c r="N8" s="12">
        <f>F8+M8</f>
        <v/>
      </c>
      <c r="O8" s="9" t="inlineStr">
        <is>
          <t>Class A PRSI. Standard credits applied.</t>
        </is>
      </c>
    </row>
    <row r="9">
      <c r="A9" s="3" t="inlineStr">
        <is>
          <t>Ciara Byrne</t>
        </is>
      </c>
      <c r="B9" s="4" t="inlineStr">
        <is>
          <t>7890123G</t>
        </is>
      </c>
      <c r="C9" s="4" t="inlineStr">
        <is>
          <t>Sligo</t>
        </is>
      </c>
      <c r="D9" s="5" t="inlineStr">
        <is>
          <t>31/01/2026</t>
        </is>
      </c>
      <c r="E9" s="4" t="inlineStr">
        <is>
          <t>Monthly</t>
        </is>
      </c>
      <c r="F9" s="6" t="n">
        <v>4750</v>
      </c>
      <c r="G9" s="6">
        <f>IFERROR(VLOOKUP("Single Monthly Tax Credit",'Tax Rates &amp; Thresholds'!A:B,2,FALSE),291.67)</f>
        <v/>
      </c>
      <c r="H9" s="6">
        <f>IFERROR(VLOOKUP("Standard Rate Cut-Off Monthly",'Tax Rates &amp; Thresholds'!A:B,2,FALSE),3516.67)</f>
        <v/>
      </c>
      <c r="I9" s="7">
        <f>MAX(0,IF(F9&lt;=H9,F9*0.20+0,H9*0.20+(F9-H9)*0.40)-G9)</f>
        <v/>
      </c>
      <c r="J9" s="7">
        <f>IF(F9&lt;352,0,ROUND(F9*0.04,2))</f>
        <v/>
      </c>
      <c r="K9" s="7">
        <f>IFERROR(IF(F9&lt;=13000/12,0,ROUND(MIN(F9,1001)*0.005+MAX(0,MIN(F9,1774.58)-1001)*0.02+MAX(0,MIN(F9,5837)-1774.58)*0.04+MAX(0,F9-5837)*0.08,2)),0)</f>
        <v/>
      </c>
      <c r="L9" s="8">
        <f>F9-I9-J9-K9</f>
        <v/>
      </c>
      <c r="M9" s="7">
        <f>IF(F9&lt;1777,ROUND(F9*0.0870,2),ROUND(F9*0.1105,2))</f>
        <v/>
      </c>
      <c r="N9" s="8">
        <f>F9+M9</f>
        <v/>
      </c>
      <c r="O9" s="3" t="inlineStr">
        <is>
          <t>Class A PRSI. Standard credits applied.</t>
        </is>
      </c>
    </row>
    <row r="10">
      <c r="A10" s="9" t="inlineStr">
        <is>
          <t>Oisín Nolan</t>
        </is>
      </c>
      <c r="B10" s="10" t="inlineStr">
        <is>
          <t>8901234H</t>
        </is>
      </c>
      <c r="C10" s="10" t="inlineStr">
        <is>
          <t>Drogheda</t>
        </is>
      </c>
      <c r="D10" s="5" t="inlineStr">
        <is>
          <t>31/01/2026</t>
        </is>
      </c>
      <c r="E10" s="10" t="inlineStr">
        <is>
          <t>Monthly</t>
        </is>
      </c>
      <c r="F10" s="6" t="n">
        <v>3050</v>
      </c>
      <c r="G10" s="6">
        <f>IFERROR(VLOOKUP("Single Monthly Tax Credit",'Tax Rates &amp; Thresholds'!A:B,2,FALSE),291.67)</f>
        <v/>
      </c>
      <c r="H10" s="6">
        <f>IFERROR(VLOOKUP("Standard Rate Cut-Off Monthly",'Tax Rates &amp; Thresholds'!A:B,2,FALSE),3516.67)</f>
        <v/>
      </c>
      <c r="I10" s="11">
        <f>MAX(0,IF(F10&lt;=H10,F10*0.20+0,H10*0.20+(F10-H10)*0.40)-G10)</f>
        <v/>
      </c>
      <c r="J10" s="11">
        <f>IF(F10&lt;352,0,ROUND(F10*0.04,2))</f>
        <v/>
      </c>
      <c r="K10" s="11">
        <f>IFERROR(IF(F10&lt;=13000/12,0,ROUND(MIN(F10,1001)*0.005+MAX(0,MIN(F10,1774.58)-1001)*0.02+MAX(0,MIN(F10,5837)-1774.58)*0.04+MAX(0,F10-5837)*0.08,2)),0)</f>
        <v/>
      </c>
      <c r="L10" s="12">
        <f>F10-I10-J10-K10</f>
        <v/>
      </c>
      <c r="M10" s="11">
        <f>IF(F10&lt;1777,ROUND(F10*0.0870,2),ROUND(F10*0.1105,2))</f>
        <v/>
      </c>
      <c r="N10" s="12">
        <f>F10+M10</f>
        <v/>
      </c>
      <c r="O10" s="9" t="inlineStr">
        <is>
          <t>Class A PRSI. Standard credits applied.</t>
        </is>
      </c>
    </row>
    <row r="11">
      <c r="A11" s="3" t="inlineStr">
        <is>
          <t>Róisín Doyle</t>
        </is>
      </c>
      <c r="B11" s="4" t="inlineStr">
        <is>
          <t>9012345I</t>
        </is>
      </c>
      <c r="C11" s="4" t="inlineStr">
        <is>
          <t>Wexford</t>
        </is>
      </c>
      <c r="D11" s="5" t="inlineStr">
        <is>
          <t>31/01/2026</t>
        </is>
      </c>
      <c r="E11" s="4" t="inlineStr">
        <is>
          <t>Monthly</t>
        </is>
      </c>
      <c r="F11" s="6" t="n">
        <v>2950</v>
      </c>
      <c r="G11" s="6">
        <f>IFERROR(VLOOKUP("Single Monthly Tax Credit",'Tax Rates &amp; Thresholds'!A:B,2,FALSE),291.67)</f>
        <v/>
      </c>
      <c r="H11" s="6">
        <f>IFERROR(VLOOKUP("Standard Rate Cut-Off Monthly",'Tax Rates &amp; Thresholds'!A:B,2,FALSE),3516.67)</f>
        <v/>
      </c>
      <c r="I11" s="7">
        <f>MAX(0,IF(F11&lt;=H11,F11*0.20+0,H11*0.20+(F11-H11)*0.40)-G11)</f>
        <v/>
      </c>
      <c r="J11" s="7">
        <f>IF(F11&lt;352,0,ROUND(F11*0.04,2))</f>
        <v/>
      </c>
      <c r="K11" s="7">
        <f>IFERROR(IF(F11&lt;=13000/12,0,ROUND(MIN(F11,1001)*0.005+MAX(0,MIN(F11,1774.58)-1001)*0.02+MAX(0,MIN(F11,5837)-1774.58)*0.04+MAX(0,F11-5837)*0.08,2)),0)</f>
        <v/>
      </c>
      <c r="L11" s="8">
        <f>F11-I11-J11-K11</f>
        <v/>
      </c>
      <c r="M11" s="7">
        <f>IF(F11&lt;1777,ROUND(F11*0.0870,2),ROUND(F11*0.1105,2))</f>
        <v/>
      </c>
      <c r="N11" s="8">
        <f>F11+M11</f>
        <v/>
      </c>
      <c r="O11" s="3" t="inlineStr">
        <is>
          <t>Class A PRSI. Standard credits applied.</t>
        </is>
      </c>
    </row>
    <row r="12" ht="18" customHeight="1">
      <c r="A12" s="13" t="inlineStr">
        <is>
          <t>TOTALS</t>
        </is>
      </c>
      <c r="B12" s="13" t="inlineStr"/>
      <c r="C12" s="13" t="inlineStr"/>
      <c r="D12" s="13" t="inlineStr"/>
      <c r="E12" s="13" t="inlineStr"/>
      <c r="F12" s="14">
        <f>SUM(F3:F11)</f>
        <v/>
      </c>
      <c r="G12" s="13" t="inlineStr"/>
      <c r="H12" s="13" t="inlineStr"/>
      <c r="I12" s="14">
        <f>SUM(I3:I11)</f>
        <v/>
      </c>
      <c r="J12" s="14">
        <f>SUM(J3:J11)</f>
        <v/>
      </c>
      <c r="K12" s="14">
        <f>SUM(K3:K11)</f>
        <v/>
      </c>
      <c r="L12" s="14">
        <f>SUM(L3:L11)</f>
        <v/>
      </c>
      <c r="M12" s="14">
        <f>SUM(M3:M11)</f>
        <v/>
      </c>
      <c r="N12" s="14">
        <f>SUM(N3:N11)</f>
        <v/>
      </c>
      <c r="O12" s="13" t="inlineStr"/>
    </row>
    <row r="13" ht="18" customHeight="1">
      <c r="A13" s="15" t="inlineStr">
        <is>
          <t>AVERAGE</t>
        </is>
      </c>
      <c r="B13" s="15" t="inlineStr"/>
      <c r="C13" s="15" t="inlineStr"/>
      <c r="D13" s="15" t="inlineStr"/>
      <c r="E13" s="15" t="inlineStr"/>
      <c r="F13" s="16">
        <f>AVERAGE(F3:F11)</f>
        <v/>
      </c>
      <c r="G13" s="15" t="inlineStr"/>
      <c r="H13" s="15" t="inlineStr"/>
      <c r="I13" s="16">
        <f>AVERAGE(I3:I11)</f>
        <v/>
      </c>
      <c r="J13" s="16">
        <f>AVERAGE(J3:J11)</f>
        <v/>
      </c>
      <c r="K13" s="16">
        <f>AVERAGE(K3:K11)</f>
        <v/>
      </c>
      <c r="L13" s="16">
        <f>AVERAGE(L3:L11)</f>
        <v/>
      </c>
      <c r="M13" s="16">
        <f>AVERAGE(M3:M11)</f>
        <v/>
      </c>
      <c r="N13" s="16">
        <f>AVERAGE(N3:N11)</f>
        <v/>
      </c>
      <c r="O13" s="15" t="inlineStr"/>
    </row>
    <row r="14"/>
    <row r="15">
      <c r="A15" s="17" t="inlineStr">
        <is>
          <t>County Counts</t>
        </is>
      </c>
      <c r="D15" s="17" t="inlineStr">
        <is>
          <t>Deductions as % of Gross</t>
        </is>
      </c>
    </row>
    <row r="16">
      <c r="A16" s="9" t="inlineStr">
        <is>
          <t>Dublin</t>
        </is>
      </c>
      <c r="B16" s="10">
        <f>COUNTIF(C3:C11,"Dublin")</f>
        <v/>
      </c>
      <c r="D16" s="9" t="inlineStr">
        <is>
          <t>PAYE</t>
        </is>
      </c>
      <c r="E16" s="18">
        <f>IFERROR(SUM(I3:I11)/SUM(F3:F11),0)</f>
        <v/>
      </c>
    </row>
    <row r="17">
      <c r="A17" s="9" t="inlineStr">
        <is>
          <t>Cork</t>
        </is>
      </c>
      <c r="B17" s="10">
        <f>COUNTIF(C3:C11,"Cork")</f>
        <v/>
      </c>
      <c r="D17" s="9" t="inlineStr">
        <is>
          <t>PRSI</t>
        </is>
      </c>
      <c r="E17" s="18">
        <f>IFERROR(SUM(J3:J11)/SUM(F3:F11),0)</f>
        <v/>
      </c>
    </row>
    <row r="18">
      <c r="A18" s="9" t="inlineStr">
        <is>
          <t>Galway</t>
        </is>
      </c>
      <c r="B18" s="10">
        <f>COUNTIF(C3:C11,"Galway")</f>
        <v/>
      </c>
      <c r="D18" s="9" t="inlineStr">
        <is>
          <t>USC</t>
        </is>
      </c>
      <c r="E18" s="18">
        <f>IFERROR(SUM(K3:K11)/SUM(F3:F11),0)</f>
        <v/>
      </c>
    </row>
    <row r="19">
      <c r="A19" s="9" t="inlineStr">
        <is>
          <t>Limerick</t>
        </is>
      </c>
      <c r="B19" s="10">
        <f>COUNTIF(C3:C11,"Limerick")</f>
        <v/>
      </c>
    </row>
    <row r="20">
      <c r="A20" s="9" t="inlineStr">
        <is>
          <t>Waterford</t>
        </is>
      </c>
      <c r="B20" s="10">
        <f>COUNTIF(C3:C11,"Waterford")</f>
        <v/>
      </c>
    </row>
    <row r="21">
      <c r="A21" s="9" t="inlineStr">
        <is>
          <t>Kilkenny</t>
        </is>
      </c>
      <c r="B21" s="10">
        <f>COUNTIF(C3:C11,"Kilkenny")</f>
        <v/>
      </c>
    </row>
    <row r="22">
      <c r="A22" s="9" t="inlineStr">
        <is>
          <t>Sligo</t>
        </is>
      </c>
      <c r="B22" s="10">
        <f>COUNTIF(C3:C11,"Sligo")</f>
        <v/>
      </c>
    </row>
    <row r="23">
      <c r="A23" s="9" t="inlineStr">
        <is>
          <t>Drogheda</t>
        </is>
      </c>
      <c r="B23" s="10">
        <f>COUNTIF(C3:C11,"Drogheda")</f>
        <v/>
      </c>
    </row>
    <row r="24">
      <c r="A24" s="9" t="inlineStr">
        <is>
          <t>Wexford</t>
        </is>
      </c>
      <c r="B24" s="10">
        <f>COUNTIF(C3:C11,"Wexford")</f>
        <v/>
      </c>
    </row>
  </sheetData>
  <mergeCells count="1">
    <mergeCell ref="A1:O1"/>
  </mergeCells>
  <conditionalFormatting sqref="L3:L11">
    <cfRule type="expression" priority="1" dxfId="0" stopIfTrue="1">
      <formula>L3&lt;0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selection activeCell="A1" sqref="A1"/>
    </sheetView>
  </sheetViews>
  <sheetFormatPr baseColWidth="8" defaultRowHeight="15"/>
  <cols>
    <col width="38" customWidth="1" min="1" max="1"/>
    <col width="16" customWidth="1" min="2" max="2"/>
    <col width="45" customWidth="1" min="3" max="3"/>
  </cols>
  <sheetData>
    <row r="1" ht="22" customHeight="1">
      <c r="A1" s="1" t="inlineStr">
        <is>
          <t>Irish Payroll Tax Rates &amp; Thresholds — 2026 (Revenue Commissioners)</t>
        </is>
      </c>
    </row>
    <row r="2">
      <c r="A2" s="2" t="inlineStr">
        <is>
          <t>Item</t>
        </is>
      </c>
      <c r="B2" s="2" t="inlineStr">
        <is>
          <t>Value</t>
        </is>
      </c>
      <c r="C2" s="2" t="inlineStr">
        <is>
          <t>Notes</t>
        </is>
      </c>
    </row>
    <row r="3" ht="16" customHeight="1">
      <c r="A3" s="19" t="inlineStr">
        <is>
          <t>PAYE RATES</t>
        </is>
      </c>
      <c r="B3" s="20" t="inlineStr"/>
      <c r="C3" s="19" t="inlineStr"/>
    </row>
    <row r="4" ht="16" customHeight="1">
      <c r="A4" s="3" t="inlineStr">
        <is>
          <t>PAYE Standard Rate</t>
        </is>
      </c>
      <c r="B4" s="21" t="n">
        <v>0.2</v>
      </c>
      <c r="C4" s="3" t="inlineStr">
        <is>
          <t>20% on income up to cut-off point</t>
        </is>
      </c>
    </row>
    <row r="5" ht="16" customHeight="1">
      <c r="A5" s="9" t="inlineStr">
        <is>
          <t>PAYE Higher Rate</t>
        </is>
      </c>
      <c r="B5" s="21" t="n">
        <v>0.4</v>
      </c>
      <c r="C5" s="9" t="inlineStr">
        <is>
          <t>40% on income above cut-off point</t>
        </is>
      </c>
    </row>
    <row r="6" ht="16" customHeight="1">
      <c r="A6" s="19" t="inlineStr">
        <is>
          <t>TAX CREDITS (Annual)</t>
        </is>
      </c>
      <c r="B6" s="20" t="inlineStr"/>
      <c r="C6" s="19" t="inlineStr"/>
    </row>
    <row r="7" ht="16" customHeight="1">
      <c r="A7" s="9" t="inlineStr">
        <is>
          <t>Single Person Tax Credit</t>
        </is>
      </c>
      <c r="B7" s="6" t="n">
        <v>3300</v>
      </c>
      <c r="C7" s="9" t="inlineStr">
        <is>
          <t>Annual — €3,300 per year (2026)</t>
        </is>
      </c>
    </row>
    <row r="8" ht="16" customHeight="1">
      <c r="A8" s="3" t="inlineStr">
        <is>
          <t>Single Monthly Tax Credit</t>
        </is>
      </c>
      <c r="B8" s="6" t="n">
        <v>275</v>
      </c>
      <c r="C8" s="3" t="inlineStr">
        <is>
          <t>Monthly = Annual / 12</t>
        </is>
      </c>
    </row>
    <row r="9" ht="16" customHeight="1">
      <c r="A9" s="9" t="inlineStr">
        <is>
          <t>Employee PAYE Tax Credit</t>
        </is>
      </c>
      <c r="B9" s="6" t="n">
        <v>2000</v>
      </c>
      <c r="C9" s="9" t="inlineStr">
        <is>
          <t>Annual employee PAYE credit</t>
        </is>
      </c>
    </row>
    <row r="10" ht="16" customHeight="1">
      <c r="A10" s="3" t="inlineStr">
        <is>
          <t>Employee PAYE Tax Credit Monthly</t>
        </is>
      </c>
      <c r="B10" s="6" t="n">
        <v>166.67</v>
      </c>
      <c r="C10" s="3" t="inlineStr">
        <is>
          <t>Monthly = Annual / 12</t>
        </is>
      </c>
    </row>
    <row r="11" ht="16" customHeight="1">
      <c r="A11" s="9" t="inlineStr">
        <is>
          <t>Combined Monthly Tax Credit</t>
        </is>
      </c>
      <c r="B11" s="6" t="n">
        <v>441.67</v>
      </c>
      <c r="C11" s="9" t="inlineStr">
        <is>
          <t>Single + PAYE credits combined monthly</t>
        </is>
      </c>
    </row>
    <row r="12" ht="16" customHeight="1">
      <c r="A12" s="19" t="inlineStr">
        <is>
          <t>STANDARD RATE CUT-OFF</t>
        </is>
      </c>
      <c r="B12" s="20" t="inlineStr"/>
      <c r="C12" s="19" t="inlineStr"/>
    </row>
    <row r="13" ht="16" customHeight="1">
      <c r="A13" s="9" t="inlineStr">
        <is>
          <t>Standard Rate Cut-Off Annual</t>
        </is>
      </c>
      <c r="B13" s="6" t="n">
        <v>42000</v>
      </c>
      <c r="C13" s="9" t="inlineStr">
        <is>
          <t>Annual single person cut-off (2026)</t>
        </is>
      </c>
    </row>
    <row r="14" ht="16" customHeight="1">
      <c r="A14" s="3" t="inlineStr">
        <is>
          <t>Standard Rate Cut-Off Monthly</t>
        </is>
      </c>
      <c r="B14" s="6" t="n">
        <v>3500</v>
      </c>
      <c r="C14" s="3" t="inlineStr">
        <is>
          <t>Monthly = Annual / 12</t>
        </is>
      </c>
    </row>
    <row r="15" ht="16" customHeight="1">
      <c r="A15" s="19" t="inlineStr">
        <is>
          <t>PRSI — Employee</t>
        </is>
      </c>
      <c r="B15" s="20" t="inlineStr"/>
      <c r="C15" s="19" t="inlineStr"/>
    </row>
    <row r="16" ht="16" customHeight="1">
      <c r="A16" s="3" t="inlineStr">
        <is>
          <t>Employee PRSI Rate (Class A)</t>
        </is>
      </c>
      <c r="B16" s="21" t="n">
        <v>0.04</v>
      </c>
      <c r="C16" s="3" t="inlineStr">
        <is>
          <t>4% on gross earnings &gt; €352/week</t>
        </is>
      </c>
    </row>
    <row r="17" ht="16" customHeight="1">
      <c r="A17" s="9" t="inlineStr">
        <is>
          <t>Employee PRSI Exempt Threshold</t>
        </is>
      </c>
      <c r="B17" s="6" t="n">
        <v>352</v>
      </c>
      <c r="C17" s="9" t="inlineStr">
        <is>
          <t>Weekly earnings exempt threshold</t>
        </is>
      </c>
    </row>
    <row r="18" ht="16" customHeight="1">
      <c r="A18" s="19" t="inlineStr">
        <is>
          <t>PRSI — Employer</t>
        </is>
      </c>
      <c r="B18" s="20" t="inlineStr"/>
      <c r="C18" s="19" t="inlineStr"/>
    </row>
    <row r="19" ht="16" customHeight="1">
      <c r="A19" s="9" t="inlineStr">
        <is>
          <t>Employer PRSI Rate (Class A — High)</t>
        </is>
      </c>
      <c r="B19" s="21" t="n">
        <v>0.1105</v>
      </c>
      <c r="C19" s="9" t="inlineStr">
        <is>
          <t>11.05% on gross &gt; ~€410/week (€1,777/mth)</t>
        </is>
      </c>
    </row>
    <row r="20" ht="16" customHeight="1">
      <c r="A20" s="3" t="inlineStr">
        <is>
          <t>Employer PRSI Rate (Class A — Low)</t>
        </is>
      </c>
      <c r="B20" s="21" t="n">
        <v>0.08699999999999999</v>
      </c>
      <c r="C20" s="3" t="inlineStr">
        <is>
          <t>8.70% on gross &lt; ~€410/week</t>
        </is>
      </c>
    </row>
    <row r="21" ht="16" customHeight="1">
      <c r="A21" s="19" t="inlineStr">
        <is>
          <t>USC — Universal Social Charge</t>
        </is>
      </c>
      <c r="B21" s="20" t="inlineStr"/>
      <c r="C21" s="19" t="inlineStr"/>
    </row>
    <row r="22" ht="16" customHeight="1">
      <c r="A22" s="3" t="inlineStr">
        <is>
          <t>USC Band 1 Rate</t>
        </is>
      </c>
      <c r="B22" s="21" t="n">
        <v>0.005</v>
      </c>
      <c r="C22" s="3" t="inlineStr">
        <is>
          <t>0.5% on first €12,012 p.a. (€1,001/mth)</t>
        </is>
      </c>
    </row>
    <row r="23" ht="16" customHeight="1">
      <c r="A23" s="9" t="inlineStr">
        <is>
          <t>USC Band 1 Annual Threshold</t>
        </is>
      </c>
      <c r="B23" s="6" t="n">
        <v>12012</v>
      </c>
      <c r="C23" s="9" t="inlineStr">
        <is>
          <t>Annual threshold for Band 1</t>
        </is>
      </c>
    </row>
    <row r="24" ht="16" customHeight="1">
      <c r="A24" s="3" t="inlineStr">
        <is>
          <t>USC Band 2 Rate</t>
        </is>
      </c>
      <c r="B24" s="21" t="n">
        <v>0.02</v>
      </c>
      <c r="C24" s="3" t="inlineStr">
        <is>
          <t>2% on €12,013–€25,760 p.a.</t>
        </is>
      </c>
    </row>
    <row r="25" ht="16" customHeight="1">
      <c r="A25" s="9" t="inlineStr">
        <is>
          <t>USC Band 2 Annual Threshold</t>
        </is>
      </c>
      <c r="B25" s="6" t="n">
        <v>25760</v>
      </c>
      <c r="C25" s="9" t="inlineStr">
        <is>
          <t>Annual upper threshold for Band 2</t>
        </is>
      </c>
    </row>
    <row r="26" ht="16" customHeight="1">
      <c r="A26" s="3" t="inlineStr">
        <is>
          <t>USC Band 3 Rate</t>
        </is>
      </c>
      <c r="B26" s="21" t="n">
        <v>0.04</v>
      </c>
      <c r="C26" s="3" t="inlineStr">
        <is>
          <t>4% on €25,761–€70,044 p.a.</t>
        </is>
      </c>
    </row>
    <row r="27" ht="16" customHeight="1">
      <c r="A27" s="9" t="inlineStr">
        <is>
          <t>USC Band 3 Annual Threshold</t>
        </is>
      </c>
      <c r="B27" s="6" t="n">
        <v>70044</v>
      </c>
      <c r="C27" s="9" t="inlineStr">
        <is>
          <t>Annual upper threshold for Band 3</t>
        </is>
      </c>
    </row>
    <row r="28" ht="16" customHeight="1">
      <c r="A28" s="3" t="inlineStr">
        <is>
          <t>USC Band 4 Rate</t>
        </is>
      </c>
      <c r="B28" s="21" t="n">
        <v>0.08</v>
      </c>
      <c r="C28" s="3" t="inlineStr">
        <is>
          <t>8% on balance above €70,044 p.a.</t>
        </is>
      </c>
    </row>
    <row r="29" ht="16" customHeight="1">
      <c r="A29" s="9" t="inlineStr">
        <is>
          <t>USC Exempt Threshold</t>
        </is>
      </c>
      <c r="B29" s="6" t="n">
        <v>13000</v>
      </c>
      <c r="C29" s="9" t="inlineStr">
        <is>
          <t>Annual gross &lt; €13,000 exempt from USC</t>
        </is>
      </c>
    </row>
    <row r="30"/>
    <row r="31">
      <c r="A31" s="22" t="inlineStr">
        <is>
          <t>Summary Statistics</t>
        </is>
      </c>
      <c r="B31" s="47" t="n"/>
      <c r="C31" s="48" t="n"/>
    </row>
    <row r="32">
      <c r="A32" s="24" t="inlineStr">
        <is>
          <t>Active USC Bands</t>
        </is>
      </c>
      <c r="B32" s="11">
        <f>COUNTIF(A3:A29,"USC*")</f>
        <v/>
      </c>
      <c r="C32" s="9" t="inlineStr"/>
    </row>
    <row r="33">
      <c r="A33" s="24" t="inlineStr">
        <is>
          <t>Avg PRSI/USC Rate (all)</t>
        </is>
      </c>
      <c r="B33" s="11">
        <f>IFERROR(AVERAGE(B3:B29),0)</f>
        <v/>
      </c>
      <c r="C33" s="9" t="inlineStr">
        <is>
          <t>Avg of all numeric rate values</t>
        </is>
      </c>
    </row>
    <row r="34">
      <c r="A34" s="24" t="inlineStr">
        <is>
          <t>Sum of USC Thresholds</t>
        </is>
      </c>
      <c r="B34" s="11">
        <f>SUMIF(A3:A29,"USC Band*",B3:B29)</f>
        <v/>
      </c>
      <c r="C34" s="9" t="inlineStr">
        <is>
          <t>Combined USC annual thresholds</t>
        </is>
      </c>
    </row>
  </sheetData>
  <mergeCells count="2">
    <mergeCell ref="A1:C1"/>
    <mergeCell ref="A31:C3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38"/>
  <sheetViews>
    <sheetView workbookViewId="0">
      <selection activeCell="A1" sqref="A1"/>
    </sheetView>
  </sheetViews>
  <sheetFormatPr baseColWidth="8" defaultRowHeight="15"/>
  <cols>
    <col width="22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</cols>
  <sheetData>
    <row r="1" ht="28" customHeight="1">
      <c r="A1" s="25" t="inlineStr">
        <is>
          <t>Payroll Summary Dashboard — January 2026</t>
        </is>
      </c>
    </row>
    <row r="2" ht="18" customHeight="1"/>
    <row r="3" ht="18" customHeight="1">
      <c r="A3" s="26" t="inlineStr">
        <is>
          <t>Total Gross Pay</t>
        </is>
      </c>
      <c r="B3" s="27" t="inlineStr">
        <is>
          <t>Total PAYE</t>
        </is>
      </c>
      <c r="C3" s="27" t="inlineStr">
        <is>
          <t>Total Employee PRSI</t>
        </is>
      </c>
      <c r="D3" s="27" t="inlineStr">
        <is>
          <t>Total USC</t>
        </is>
      </c>
      <c r="E3" s="28" t="inlineStr">
        <is>
          <t>Total Net Pay</t>
        </is>
      </c>
    </row>
    <row r="4" ht="22" customHeight="1">
      <c r="A4" s="29">
        <f>SUM('Payroll Calculator'!F3:F11)</f>
        <v/>
      </c>
      <c r="B4" s="30">
        <f>SUM('Payroll Calculator'!I3:I11)</f>
        <v/>
      </c>
      <c r="C4" s="30">
        <f>SUM('Payroll Calculator'!J3:J11)</f>
        <v/>
      </c>
      <c r="D4" s="30">
        <f>SUM('Payroll Calculator'!K3:K11)</f>
        <v/>
      </c>
      <c r="E4" s="31">
        <f>SUM('Payroll Calculator'!L3:L11)</f>
        <v/>
      </c>
    </row>
    <row r="5"/>
    <row r="6" ht="18" customHeight="1">
      <c r="A6" s="32" t="inlineStr">
        <is>
          <t>Total Employer PRSI</t>
        </is>
      </c>
      <c r="B6" s="33" t="inlineStr">
        <is>
          <t>Total Employer Cost</t>
        </is>
      </c>
      <c r="C6" s="26" t="inlineStr">
        <is>
          <t>Average Net Pay</t>
        </is>
      </c>
      <c r="D6" s="26" t="inlineStr">
        <is>
          <t>Highest Gross Pay</t>
        </is>
      </c>
      <c r="E6" s="34" t="inlineStr">
        <is>
          <t>Employee Count</t>
        </is>
      </c>
    </row>
    <row r="7" ht="22" customHeight="1">
      <c r="A7" s="35">
        <f>SUM('Payroll Calculator'!M3:M11)</f>
        <v/>
      </c>
      <c r="B7" s="36">
        <f>SUM('Payroll Calculator'!N3:N11)</f>
        <v/>
      </c>
      <c r="C7" s="29">
        <f>AVERAGE('Payroll Calculator'!L3:L11)</f>
        <v/>
      </c>
      <c r="D7" s="29">
        <f>MAX('Payroll Calculator'!F3:F11)</f>
        <v/>
      </c>
      <c r="E7" s="37">
        <f>COUNTA('Payroll Calculator'!A3:A11)</f>
        <v/>
      </c>
    </row>
    <row r="8"/>
    <row r="9"/>
    <row r="10"/>
    <row r="11">
      <c r="A11" s="38" t="inlineStr">
        <is>
          <t>Employee Count by County</t>
        </is>
      </c>
      <c r="B11" s="38" t="inlineStr">
        <is>
          <t>Count</t>
        </is>
      </c>
      <c r="D11" s="38" t="inlineStr">
        <is>
          <t>Pay Frequency</t>
        </is>
      </c>
      <c r="E11" s="38" t="inlineStr">
        <is>
          <t>Count</t>
        </is>
      </c>
      <c r="G11" s="38" t="inlineStr">
        <is>
          <t>Deduction Type</t>
        </is>
      </c>
      <c r="H11" s="38" t="inlineStr">
        <is>
          <t>% of Gross</t>
        </is>
      </c>
    </row>
    <row r="12">
      <c r="A12" s="3" t="inlineStr">
        <is>
          <t>Dublin</t>
        </is>
      </c>
      <c r="B12" s="4">
        <f>COUNTIF('Payroll Calculator'!C3:C11,"Dublin")</f>
        <v/>
      </c>
      <c r="D12" s="3" t="inlineStr">
        <is>
          <t>Monthly</t>
        </is>
      </c>
      <c r="E12" s="4">
        <f>COUNTIF('Payroll Calculator'!E3:E11,"Monthly")</f>
        <v/>
      </c>
      <c r="G12" s="3" t="inlineStr">
        <is>
          <t>PAYE</t>
        </is>
      </c>
      <c r="H12" s="39">
        <f>IFERROR(SUM('Payroll Calculator'!I3:I11)/SUM('Payroll Calculator'!F3:F11),0)</f>
        <v/>
      </c>
    </row>
    <row r="13">
      <c r="A13" s="9" t="inlineStr">
        <is>
          <t>Cork</t>
        </is>
      </c>
      <c r="B13" s="10">
        <f>COUNTIF('Payroll Calculator'!C3:C11,"Cork")</f>
        <v/>
      </c>
      <c r="D13" s="9" t="inlineStr">
        <is>
          <t>Weekly</t>
        </is>
      </c>
      <c r="E13" s="10">
        <f>COUNTIF('Payroll Calculator'!E3:E11,"Weekly")</f>
        <v/>
      </c>
      <c r="G13" s="9" t="inlineStr">
        <is>
          <t>Employee PRSI</t>
        </is>
      </c>
      <c r="H13" s="18">
        <f>IFERROR(SUM('Payroll Calculator'!J3:J11)/SUM('Payroll Calculator'!F3:F11),0)</f>
        <v/>
      </c>
    </row>
    <row r="14">
      <c r="A14" s="3" t="inlineStr">
        <is>
          <t>Galway</t>
        </is>
      </c>
      <c r="B14" s="4">
        <f>COUNTIF('Payroll Calculator'!C3:C11,"Galway")</f>
        <v/>
      </c>
      <c r="D14" s="3" t="inlineStr">
        <is>
          <t>Fortnightly</t>
        </is>
      </c>
      <c r="E14" s="4">
        <f>COUNTIF('Payroll Calculator'!E3:E11,"Fortnightly")</f>
        <v/>
      </c>
      <c r="G14" s="3" t="inlineStr">
        <is>
          <t>USC</t>
        </is>
      </c>
      <c r="H14" s="39">
        <f>IFERROR(SUM('Payroll Calculator'!K3:K11)/SUM('Payroll Calculator'!F3:F11),0)</f>
        <v/>
      </c>
    </row>
    <row r="15">
      <c r="A15" s="9" t="inlineStr">
        <is>
          <t>Limerick</t>
        </is>
      </c>
      <c r="B15" s="10">
        <f>COUNTIF('Payroll Calculator'!C3:C11,"Limerick")</f>
        <v/>
      </c>
      <c r="G15" s="9" t="inlineStr">
        <is>
          <t>Net Pay</t>
        </is>
      </c>
      <c r="H15" s="18">
        <f>IFERROR(SUM('Payroll Calculator'!L3:L11)/SUM('Payroll Calculator'!F3:F11),0)</f>
        <v/>
      </c>
    </row>
    <row r="16">
      <c r="A16" s="3" t="inlineStr">
        <is>
          <t>Waterford</t>
        </is>
      </c>
      <c r="B16" s="4">
        <f>COUNTIF('Payroll Calculator'!C3:C11,"Waterford")</f>
        <v/>
      </c>
    </row>
    <row r="17">
      <c r="A17" s="9" t="inlineStr">
        <is>
          <t>Kilkenny</t>
        </is>
      </c>
      <c r="B17" s="10">
        <f>COUNTIF('Payroll Calculator'!C3:C11,"Kilkenny")</f>
        <v/>
      </c>
    </row>
    <row r="18">
      <c r="A18" s="3" t="inlineStr">
        <is>
          <t>Sligo</t>
        </is>
      </c>
      <c r="B18" s="4">
        <f>COUNTIF('Payroll Calculator'!C3:C11,"Sligo")</f>
        <v/>
      </c>
    </row>
    <row r="19">
      <c r="A19" s="9" t="inlineStr">
        <is>
          <t>Drogheda</t>
        </is>
      </c>
      <c r="B19" s="10">
        <f>COUNTIF('Payroll Calculator'!C3:C11,"Drogheda")</f>
        <v/>
      </c>
    </row>
    <row r="20">
      <c r="A20" s="3" t="inlineStr">
        <is>
          <t>Wexford</t>
        </is>
      </c>
      <c r="B20" s="4">
        <f>COUNTIF('Payroll Calculator'!C3:C11,"Wexford")</f>
        <v/>
      </c>
    </row>
    <row r="21"/>
    <row r="22"/>
    <row r="23">
      <c r="A23" s="40" t="inlineStr">
        <is>
          <t>Employee</t>
        </is>
      </c>
      <c r="B23" s="40" t="inlineStr">
        <is>
          <t>Gross Pay</t>
        </is>
      </c>
      <c r="C23" s="40" t="inlineStr">
        <is>
          <t>Net Pay</t>
        </is>
      </c>
    </row>
    <row r="24">
      <c r="A24" t="inlineStr">
        <is>
          <t>Aoife M</t>
        </is>
      </c>
      <c r="B24">
        <f>'Payroll Calculator'!F3</f>
        <v/>
      </c>
      <c r="C24">
        <f>'Payroll Calculator'!L3</f>
        <v/>
      </c>
    </row>
    <row r="25">
      <c r="A25" t="inlineStr">
        <is>
          <t>Seán K</t>
        </is>
      </c>
      <c r="B25">
        <f>'Payroll Calculator'!F4</f>
        <v/>
      </c>
      <c r="C25">
        <f>'Payroll Calculator'!L4</f>
        <v/>
      </c>
    </row>
    <row r="26">
      <c r="A26" t="inlineStr">
        <is>
          <t>Niamh B</t>
        </is>
      </c>
      <c r="B26">
        <f>'Payroll Calculator'!F5</f>
        <v/>
      </c>
      <c r="C26">
        <f>'Payroll Calculator'!L5</f>
        <v/>
      </c>
    </row>
    <row r="27">
      <c r="A27" t="inlineStr">
        <is>
          <t>Cian O</t>
        </is>
      </c>
      <c r="B27">
        <f>'Payroll Calculator'!F6</f>
        <v/>
      </c>
      <c r="C27">
        <f>'Payroll Calculator'!L6</f>
        <v/>
      </c>
    </row>
    <row r="28">
      <c r="A28" t="inlineStr">
        <is>
          <t>Saoirse W</t>
        </is>
      </c>
      <c r="B28">
        <f>'Payroll Calculator'!F7</f>
        <v/>
      </c>
      <c r="C28">
        <f>'Payroll Calculator'!L7</f>
        <v/>
      </c>
    </row>
    <row r="29">
      <c r="A29" t="inlineStr">
        <is>
          <t>Conor H</t>
        </is>
      </c>
      <c r="B29">
        <f>'Payroll Calculator'!F8</f>
        <v/>
      </c>
      <c r="C29">
        <f>'Payroll Calculator'!L8</f>
        <v/>
      </c>
    </row>
    <row r="30">
      <c r="A30" t="inlineStr">
        <is>
          <t>Ciara B</t>
        </is>
      </c>
      <c r="B30">
        <f>'Payroll Calculator'!F9</f>
        <v/>
      </c>
      <c r="C30">
        <f>'Payroll Calculator'!L9</f>
        <v/>
      </c>
    </row>
    <row r="31">
      <c r="A31" t="inlineStr">
        <is>
          <t>Oisín N</t>
        </is>
      </c>
      <c r="B31">
        <f>'Payroll Calculator'!F10</f>
        <v/>
      </c>
      <c r="C31">
        <f>'Payroll Calculator'!L10</f>
        <v/>
      </c>
    </row>
    <row r="32">
      <c r="A32" t="inlineStr">
        <is>
          <t>Róisín D</t>
        </is>
      </c>
      <c r="B32">
        <f>'Payroll Calculator'!F11</f>
        <v/>
      </c>
      <c r="C32">
        <f>'Payroll Calculator'!L11</f>
        <v/>
      </c>
    </row>
    <row r="33"/>
    <row r="34">
      <c r="E34" s="40" t="inlineStr">
        <is>
          <t>Category</t>
        </is>
      </c>
      <c r="F34" s="40" t="inlineStr">
        <is>
          <t>Amount</t>
        </is>
      </c>
    </row>
    <row r="35">
      <c r="E35" t="inlineStr">
        <is>
          <t>PAYE</t>
        </is>
      </c>
      <c r="F35" s="41">
        <f>SUM('Payroll Calculator'!I3:I11)</f>
        <v/>
      </c>
    </row>
    <row r="36">
      <c r="E36" t="inlineStr">
        <is>
          <t>Employee PRSI</t>
        </is>
      </c>
      <c r="F36" s="41">
        <f>SUM('Payroll Calculator'!J3:J11)</f>
        <v/>
      </c>
    </row>
    <row r="37">
      <c r="E37" t="inlineStr">
        <is>
          <t>USC</t>
        </is>
      </c>
      <c r="F37" s="41">
        <f>SUM('Payroll Calculator'!K3:K11)</f>
        <v/>
      </c>
    </row>
    <row r="38">
      <c r="E38" t="inlineStr">
        <is>
          <t>Net Pay</t>
        </is>
      </c>
      <c r="F38" s="41">
        <f>SUM('Payroll Calculator'!L3:L11)</f>
        <v/>
      </c>
    </row>
  </sheetData>
  <mergeCells count="1">
    <mergeCell ref="A1:H1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30"/>
  <sheetViews>
    <sheetView workbookViewId="0">
      <selection activeCell="A1" sqref="A1"/>
    </sheetView>
  </sheetViews>
  <sheetFormatPr baseColWidth="8" defaultRowHeight="15"/>
  <cols>
    <col width="12" customWidth="1" min="1" max="1"/>
    <col width="80" customWidth="1" min="2" max="2"/>
  </cols>
  <sheetData>
    <row r="1" ht="26" customHeight="1">
      <c r="A1" s="1" t="inlineStr">
        <is>
          <t>User Guide — PAYE, PRSI &amp; USC Payroll Calculator (Republic of Ireland)</t>
        </is>
      </c>
    </row>
    <row r="2" ht="22" customHeight="1">
      <c r="A2" s="20" t="inlineStr">
        <is>
          <t>SECTION</t>
        </is>
      </c>
      <c r="B2" s="19" t="inlineStr">
        <is>
          <t>GETTING STARTED</t>
        </is>
      </c>
    </row>
    <row r="3" ht="22" customHeight="1">
      <c r="A3" s="10" t="inlineStr"/>
      <c r="B3" s="9" t="inlineStr">
        <is>
          <t>This workbook is designed for monthly payroll calculations for employees in the Republic of Ireland.</t>
        </is>
      </c>
    </row>
    <row r="4" ht="22" customHeight="1">
      <c r="A4" s="10" t="inlineStr"/>
      <c r="B4" s="9" t="inlineStr">
        <is>
          <t>It applies PAYE, PRSI, and USC as per Revenue Commissioners guidance for 2026.</t>
        </is>
      </c>
    </row>
    <row r="5" ht="22" customHeight="1">
      <c r="A5" s="10" t="inlineStr"/>
      <c r="B5" s="9" t="inlineStr">
        <is>
          <t>All currency values are in Euro (€). Dates follow the Irish DD/MM/YYYY format.</t>
        </is>
      </c>
    </row>
    <row r="6" ht="22" customHeight="1">
      <c r="A6" s="20" t="inlineStr">
        <is>
          <t>SECTION</t>
        </is>
      </c>
      <c r="B6" s="19" t="inlineStr">
        <is>
          <t>HOW TO ENTER EMPLOYEE DETAILS</t>
        </is>
      </c>
    </row>
    <row r="7" ht="22" customHeight="1">
      <c r="A7" s="42" t="inlineStr">
        <is>
          <t>Step 1</t>
        </is>
      </c>
      <c r="B7" s="43" t="inlineStr">
        <is>
          <t>Open the 'Payroll Calculator' sheet.</t>
        </is>
      </c>
    </row>
    <row r="8" ht="22" customHeight="1">
      <c r="A8" s="42" t="inlineStr">
        <is>
          <t>Step 2</t>
        </is>
      </c>
      <c r="B8" s="43" t="inlineStr">
        <is>
          <t>Enter each employee's name, PPS number, county, pay date, and pay frequency in columns A–E.</t>
        </is>
      </c>
    </row>
    <row r="9" ht="22" customHeight="1">
      <c r="A9" s="42" t="inlineStr">
        <is>
          <t>Step 3</t>
        </is>
      </c>
      <c r="B9" s="43" t="inlineStr">
        <is>
          <t>Enter the employee's Gross Pay (€) in column F — this is the main input cell (highlighted yellow).</t>
        </is>
      </c>
    </row>
    <row r="10" ht="22" customHeight="1">
      <c r="A10" s="42" t="inlineStr">
        <is>
          <t>Step 4</t>
        </is>
      </c>
      <c r="B10" s="43" t="inlineStr">
        <is>
          <t>Tax Credit (column G) and Standard Rate Cut-Off (column H) are auto-populated via VLOOKUP from the 'Tax Rates &amp; Thresholds' sheet. You may override these if the employee has a different tax cert from Revenue.</t>
        </is>
      </c>
    </row>
    <row r="11" ht="22" customHeight="1">
      <c r="A11" s="42" t="inlineStr">
        <is>
          <t>Step 5</t>
        </is>
      </c>
      <c r="B11" s="43" t="inlineStr">
        <is>
          <t>PAYE, PRSI, USC, Net Pay, Employer PRSI, and Total Cost are all calculated automatically.</t>
        </is>
      </c>
    </row>
    <row r="12" ht="22" customHeight="1">
      <c r="A12" s="20" t="inlineStr">
        <is>
          <t>SECTION</t>
        </is>
      </c>
      <c r="B12" s="19" t="inlineStr">
        <is>
          <t>UPDATING TAX RATES FOR 2026</t>
        </is>
      </c>
    </row>
    <row r="13" ht="22" customHeight="1">
      <c r="A13" s="10" t="inlineStr"/>
      <c r="B13" s="9" t="inlineStr">
        <is>
          <t>Open the 'Tax Rates &amp; Thresholds' sheet.</t>
        </is>
      </c>
    </row>
    <row r="14" ht="22" customHeight="1">
      <c r="A14" s="10" t="inlineStr"/>
      <c r="B14" s="9" t="inlineStr">
        <is>
          <t>Yellow-highlighted cells are editable input values. Update these when Revenue announces changes.</t>
        </is>
      </c>
    </row>
    <row r="15" ht="22" customHeight="1">
      <c r="A15" s="10" t="inlineStr"/>
      <c r="B15" s="9" t="inlineStr">
        <is>
          <t>All rate changes will automatically flow through to the 'Payroll Calculator' sheet via VLOOKUP.</t>
        </is>
      </c>
    </row>
    <row r="16" ht="22" customHeight="1">
      <c r="A16" s="10" t="inlineStr"/>
      <c r="B16" s="9" t="inlineStr">
        <is>
          <t>Always cross-check against the latest Revenue Commissioners Budget documentation.</t>
        </is>
      </c>
    </row>
    <row r="17" ht="22" customHeight="1">
      <c r="A17" s="20" t="inlineStr">
        <is>
          <t>SECTION</t>
        </is>
      </c>
      <c r="B17" s="19" t="inlineStr">
        <is>
          <t>EXPLANATION OF DEDUCTIONS</t>
        </is>
      </c>
    </row>
    <row r="18" ht="22" customHeight="1">
      <c r="A18" s="44" t="inlineStr">
        <is>
          <t>PAYE</t>
        </is>
      </c>
      <c r="B18" s="3" t="inlineStr">
        <is>
          <t>Pay As You Earn income tax. Calculated at 20% up to the standard rate cut-off point, then 40% above it. Tax credits are deducted from the gross tax liability.</t>
        </is>
      </c>
    </row>
    <row r="19" ht="22" customHeight="1">
      <c r="A19" s="44" t="inlineStr">
        <is>
          <t>PRSI</t>
        </is>
      </c>
      <c r="B19" s="3" t="inlineStr">
        <is>
          <t>Pay Related Social Insurance. Employee Class A rate is 4% of gross pay (above the weekly exempt threshold of €352). Employer PRSI is approximately 11.05% for earnings above ~€410/week.</t>
        </is>
      </c>
    </row>
    <row r="20" ht="22" customHeight="1">
      <c r="A20" s="44" t="inlineStr">
        <is>
          <t>USC</t>
        </is>
      </c>
      <c r="B20" s="3" t="inlineStr">
        <is>
          <t>Universal Social Charge — a tiered charge on gross income. Exempt if annual gross is below €13,000. Bands: 0.5% (first €12,012), 2% (next €13,748), 4% (next €44,284), 8% (balance). Calculated monthly.</t>
        </is>
      </c>
    </row>
    <row r="21" ht="22" customHeight="1">
      <c r="A21" s="44" t="inlineStr">
        <is>
          <t>Net Pay</t>
        </is>
      </c>
      <c r="B21" s="3" t="inlineStr">
        <is>
          <t>Gross Pay minus PAYE, Employee PRSI, and USC. This is the take-home pay amount.</t>
        </is>
      </c>
    </row>
    <row r="22" ht="22" customHeight="1">
      <c r="A22" s="20" t="inlineStr">
        <is>
          <t>SECTION</t>
        </is>
      </c>
      <c r="B22" s="19" t="inlineStr">
        <is>
          <t>PAYROLL SUMMARY DASHBOARD</t>
        </is>
      </c>
    </row>
    <row r="23" ht="22" customHeight="1">
      <c r="A23" s="10" t="inlineStr"/>
      <c r="B23" s="9" t="inlineStr">
        <is>
          <t>The 'Payroll Summary' sheet provides management-level KPIs including total gross, total deductions, total net pay, employer costs, and employee counts by county.</t>
        </is>
      </c>
    </row>
    <row r="24" ht="22" customHeight="1">
      <c r="A24" s="10" t="inlineStr"/>
      <c r="B24" s="9" t="inlineStr">
        <is>
          <t>Charts visualise Gross vs Net Pay per employee and the payroll composition breakdown.</t>
        </is>
      </c>
    </row>
    <row r="25" ht="22" customHeight="1">
      <c r="A25" s="20" t="inlineStr">
        <is>
          <t>SECTION</t>
        </is>
      </c>
      <c r="B25" s="19" t="inlineStr">
        <is>
          <t>IMPORTANT DISCLAIMERS</t>
        </is>
      </c>
    </row>
    <row r="26" ht="22" customHeight="1">
      <c r="A26" s="45" t="inlineStr">
        <is>
          <t>⚠️</t>
        </is>
      </c>
      <c r="B26" s="46" t="inlineStr">
        <is>
          <t>This workbook is for indicative and planning purposes only. It is NOT a substitute for certified payroll software.</t>
        </is>
      </c>
    </row>
    <row r="27" ht="22" customHeight="1">
      <c r="A27" s="45" t="inlineStr">
        <is>
          <t>⚠️</t>
        </is>
      </c>
      <c r="B27" s="46" t="inlineStr">
        <is>
          <t>Always verify figures against current Revenue Commissioners guidance at www.revenue.ie before processing payroll.</t>
        </is>
      </c>
    </row>
    <row r="28" ht="22" customHeight="1">
      <c r="A28" s="45" t="inlineStr">
        <is>
          <t>⚠️</t>
        </is>
      </c>
      <c r="B28" s="46" t="inlineStr">
        <is>
          <t>Tax rates, credits, thresholds, and PRSI classes may change annually following the Irish Budget.</t>
        </is>
      </c>
    </row>
    <row r="29" ht="22" customHeight="1">
      <c r="A29" s="45" t="inlineStr">
        <is>
          <t>⚠️</t>
        </is>
      </c>
      <c r="B29" s="46" t="inlineStr">
        <is>
          <t>This calculator assumes standard Class A PRSI and single person tax credits. Adjustments are required for married couples, medical card holders, reduced USC rates, and other individual circumstances.</t>
        </is>
      </c>
    </row>
    <row r="30" ht="22" customHeight="1">
      <c r="A30" s="45" t="inlineStr">
        <is>
          <t>⚠️</t>
        </is>
      </c>
      <c r="B30" s="46" t="inlineStr">
        <is>
          <t>The workbook uses 2026 rates as published. Verify with your payroll provider or accountant before use.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2026-06-19T01:36:29Z</dcterms:created>
  <dcterms:modified xmlns:dcterms="http://purl.org/dc/terms/" xmlns:xsi="http://www.w3.org/2001/XMLSchema-instance" xsi:type="dcterms:W3CDTF">2026-06-19T01:36:29Z</dcterms:modified>
</cp:coreProperties>
</file>