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y Log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%&quot;"/>
    <numFmt numFmtId="165" formatCode="&quot;€&quot;0.00"/>
    <numFmt numFmtId="166" formatCode="&quot;€&quot;#,##0.00"/>
    <numFmt numFmtId="167" formatCode="0.0%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4"/>
    </font>
    <font>
      <b val="1"/>
    </font>
    <font>
      <b val="1"/>
      <color rgb="00FFFFFF"/>
    </font>
    <font>
      <b val="1"/>
      <color rgb="00FFFFFF"/>
      <sz val="13"/>
    </font>
  </fonts>
  <fills count="6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3" fontId="0" fillId="4" borderId="1" pivotButton="0" quotePrefix="0" xfId="0"/>
    <xf numFmtId="164" fontId="0" fillId="4" borderId="1" pivotButton="0" quotePrefix="0" xfId="0"/>
    <xf numFmtId="164" fontId="0" fillId="3" borderId="1" pivotButton="0" quotePrefix="0" xfId="0"/>
    <xf numFmtId="3" fontId="0" fillId="3" borderId="1" pivotButton="0" quotePrefix="0" xfId="0"/>
    <xf numFmtId="165" fontId="0" fillId="3" borderId="1" pivotButton="0" quotePrefix="0" xfId="0"/>
    <xf numFmtId="165" fontId="0" fillId="4" borderId="1" pivotButton="0" quotePrefix="0" xfId="0"/>
    <xf numFmtId="166" fontId="0" fillId="3" borderId="1" pivotButton="0" quotePrefix="0" xfId="0"/>
    <xf numFmtId="167" fontId="0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2" fillId="2" borderId="0" pivotButton="0" quotePrefix="0" xfId="0"/>
    <xf numFmtId="0" fontId="4" fillId="5" borderId="1" pivotButton="0" quotePrefix="0" xfId="0"/>
    <xf numFmtId="0" fontId="4" fillId="2" borderId="1" pivotButton="0" quotePrefix="0" xfId="0"/>
    <xf numFmtId="1" fontId="0" fillId="0" borderId="1" pivotButton="0" quotePrefix="0" xfId="0"/>
    <xf numFmtId="0" fontId="5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4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5" fontId="0" fillId="4" borderId="1" pivotButton="0" quotePrefix="0" xfId="0"/>
    <xf numFmtId="165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DC2626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Milk Solids (kg) by Supplier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'Supply Log'!J1</f>
            </strRef>
          </tx>
          <spPr>
            <a:ln xmlns:a="http://schemas.openxmlformats.org/drawingml/2006/main">
              <a:prstDash val="solid"/>
            </a:ln>
          </spPr>
          <cat>
            <numRef>
              <f>'Supply Log'!$B$2:$B$10</f>
            </numRef>
          </cat>
          <val>
            <numRef>
              <f>'Supply Log'!$J$2:$J$10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Milk Volume and Milk Solids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'Supply Log'!F1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'Supply Log'!$E$2:$E$10</f>
            </numRef>
          </cat>
          <val>
            <numRef>
              <f>'Supply Log'!$F$2:$F$10</f>
            </numRef>
          </val>
        </ser>
        <ser>
          <idx val="1"/>
          <order val="1"/>
          <tx>
            <strRef>
              <f>'Supply Log'!J1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'Supply Log'!$E$2:$E$10</f>
            </numRef>
          </cat>
          <val>
            <numRef>
              <f>'Supply Log'!$J$2:$J$10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Status Split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'Dashboard'!$A$12:$A$13</f>
            </numRef>
          </cat>
          <val>
            <numRef>
              <f>'Dashboard'!$B$12:$B$13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29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15</row>
      <rowOff>0</rowOff>
    </from>
    <ext cx="36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4" customWidth="1" min="3" max="3"/>
    <col width="17" customWidth="1" min="4" max="4"/>
    <col width="13" customWidth="1" min="5" max="5"/>
    <col width="15" customWidth="1" min="6" max="6"/>
    <col width="13" customWidth="1" min="7" max="7"/>
    <col width="12" customWidth="1" min="8" max="8"/>
    <col width="14" customWidth="1" min="9" max="9"/>
    <col width="15" customWidth="1" min="10" max="10"/>
    <col width="16" customWidth="1" min="11" max="11"/>
    <col width="17" customWidth="1" min="12" max="12"/>
    <col width="17" customWidth="1" min="13" max="13"/>
    <col width="17" customWidth="1" min="14" max="14"/>
    <col width="13" customWidth="1" min="15" max="15"/>
    <col width="17" customWidth="1" min="16" max="16"/>
    <col width="14" customWidth="1" min="17" max="17"/>
    <col width="26" customWidth="1" min="18" max="18"/>
    <col width="18" customWidth="1" min="20" max="20"/>
    <col width="26" customWidth="1" min="21" max="21"/>
  </cols>
  <sheetData>
    <row r="1">
      <c r="A1" s="1" t="inlineStr">
        <is>
          <t>Delivery ID</t>
        </is>
      </c>
      <c r="B1" s="1" t="inlineStr">
        <is>
          <t>Supplier Name</t>
        </is>
      </c>
      <c r="C1" s="1" t="inlineStr">
        <is>
          <t>Farm Location</t>
        </is>
      </c>
      <c r="D1" s="1" t="inlineStr">
        <is>
          <t>Co-op</t>
        </is>
      </c>
      <c r="E1" s="1" t="inlineStr">
        <is>
          <t>Supply Month</t>
        </is>
      </c>
      <c r="F1" s="1" t="inlineStr">
        <is>
          <t>Milk Volume (L)</t>
        </is>
      </c>
      <c r="G1" s="1" t="inlineStr">
        <is>
          <t>Butterfat (%)</t>
        </is>
      </c>
      <c r="H1" s="1" t="inlineStr">
        <is>
          <t>Protein (%)</t>
        </is>
      </c>
      <c r="I1" s="1" t="inlineStr">
        <is>
          <t>Total Solids (%)</t>
        </is>
      </c>
      <c r="J1" s="1" t="inlineStr">
        <is>
          <t>Milk Solids (kg)</t>
        </is>
      </c>
      <c r="K1" s="1" t="inlineStr">
        <is>
          <t>Base Price (€ / kg MS)</t>
        </is>
      </c>
      <c r="L1" s="1" t="inlineStr">
        <is>
          <t>Quality Bonus (€ / kg MS)</t>
        </is>
      </c>
      <c r="M1" s="1" t="inlineStr">
        <is>
          <t>Effective Price (€ / kg MS)</t>
        </is>
      </c>
      <c r="N1" s="1" t="inlineStr">
        <is>
          <t>Estimated Payment (€)</t>
        </is>
      </c>
      <c r="O1" s="1" t="inlineStr">
        <is>
          <t>Target MS (kg)</t>
        </is>
      </c>
      <c r="P1" s="1" t="inlineStr">
        <is>
          <t>Target Achievement (%)</t>
        </is>
      </c>
      <c r="Q1" s="1" t="inlineStr">
        <is>
          <t>Status</t>
        </is>
      </c>
      <c r="R1" s="1" t="inlineStr">
        <is>
          <t>Notes</t>
        </is>
      </c>
      <c r="T1" s="1" t="inlineStr">
        <is>
          <t>Co-op</t>
        </is>
      </c>
      <c r="U1" s="1" t="inlineStr">
        <is>
          <t>Standard Base Price (€ / kg MS)</t>
        </is>
      </c>
    </row>
    <row r="2">
      <c r="A2" s="2" t="inlineStr">
        <is>
          <t>MS-2601</t>
        </is>
      </c>
      <c r="B2" s="2" t="inlineStr">
        <is>
          <t>Aoife Murphy</t>
        </is>
      </c>
      <c r="C2" s="2" t="inlineStr">
        <is>
          <t>Cork</t>
        </is>
      </c>
      <c r="D2" s="2" t="inlineStr">
        <is>
          <t>Tirlán</t>
        </is>
      </c>
      <c r="E2" s="2" t="inlineStr">
        <is>
          <t>01/01/2026</t>
        </is>
      </c>
      <c r="F2" s="3" t="n">
        <v>52000</v>
      </c>
      <c r="G2" s="23" t="n">
        <v>4.32</v>
      </c>
      <c r="H2" s="23" t="n">
        <v>3.58</v>
      </c>
      <c r="I2" s="24">
        <f>G2+H2</f>
        <v/>
      </c>
      <c r="J2" s="6">
        <f>F2*I2/100</f>
        <v/>
      </c>
      <c r="K2" s="25">
        <f>IFERROR(VLOOKUP(D2,$T$2:$U$6,2,FALSE),4.65)</f>
        <v/>
      </c>
      <c r="L2" s="26" t="n">
        <v>0.08</v>
      </c>
      <c r="M2" s="25">
        <f>K2+L2</f>
        <v/>
      </c>
      <c r="N2" s="9">
        <f>J2*M2</f>
        <v/>
      </c>
      <c r="O2" s="3" t="n">
        <v>4200</v>
      </c>
      <c r="P2" s="10">
        <f>IF(O2=0,0,J2/O2)</f>
        <v/>
      </c>
      <c r="Q2" s="2">
        <f>IF(P2&gt;=1,"On target","Below target")</f>
        <v/>
      </c>
      <c r="R2" s="2" t="inlineStr">
        <is>
          <t>January collection complete</t>
        </is>
      </c>
      <c r="T2" s="11" t="inlineStr">
        <is>
          <t>Tirlán</t>
        </is>
      </c>
      <c r="U2" s="27" t="n">
        <v>4.72</v>
      </c>
    </row>
    <row r="3">
      <c r="A3" s="11" t="inlineStr">
        <is>
          <t>MS-2602</t>
        </is>
      </c>
      <c r="B3" s="11" t="inlineStr">
        <is>
          <t>Seán O’Brien</t>
        </is>
      </c>
      <c r="C3" s="11" t="inlineStr">
        <is>
          <t>Limerick</t>
        </is>
      </c>
      <c r="D3" s="11" t="inlineStr">
        <is>
          <t>Dairygold</t>
        </is>
      </c>
      <c r="E3" s="11" t="inlineStr">
        <is>
          <t>01/02/2026</t>
        </is>
      </c>
      <c r="F3" s="3" t="n">
        <v>48500</v>
      </c>
      <c r="G3" s="23" t="n">
        <v>4.15</v>
      </c>
      <c r="H3" s="23" t="n">
        <v>3.52</v>
      </c>
      <c r="I3" s="28">
        <f>G3+H3</f>
        <v/>
      </c>
      <c r="J3" s="14">
        <f>F3*I3/100</f>
        <v/>
      </c>
      <c r="K3" s="27">
        <f>IFERROR(VLOOKUP(D3,$T$2:$U$6,2,FALSE),4.65)</f>
        <v/>
      </c>
      <c r="L3" s="26" t="n">
        <v>0</v>
      </c>
      <c r="M3" s="27">
        <f>K3+L3</f>
        <v/>
      </c>
      <c r="N3" s="15">
        <f>J3*M3</f>
        <v/>
      </c>
      <c r="O3" s="3" t="n">
        <v>3800</v>
      </c>
      <c r="P3" s="16">
        <f>IF(O3=0,0,J3/O3)</f>
        <v/>
      </c>
      <c r="Q3" s="11">
        <f>IF(P3&gt;=1,"On target","Below target")</f>
        <v/>
      </c>
      <c r="R3" s="11" t="inlineStr"/>
      <c r="T3" s="11" t="inlineStr">
        <is>
          <t>Dairygold</t>
        </is>
      </c>
      <c r="U3" s="27" t="n">
        <v>4.68</v>
      </c>
    </row>
    <row r="4">
      <c r="A4" s="2" t="inlineStr">
        <is>
          <t>MS-2603</t>
        </is>
      </c>
      <c r="B4" s="2" t="inlineStr">
        <is>
          <t>Niamh Kelly</t>
        </is>
      </c>
      <c r="C4" s="2" t="inlineStr">
        <is>
          <t>Galway</t>
        </is>
      </c>
      <c r="D4" s="2" t="inlineStr">
        <is>
          <t>Aurivo</t>
        </is>
      </c>
      <c r="E4" s="2" t="inlineStr">
        <is>
          <t>01/03/2026</t>
        </is>
      </c>
      <c r="F4" s="3" t="n">
        <v>41200</v>
      </c>
      <c r="G4" s="23" t="n">
        <v>4.08</v>
      </c>
      <c r="H4" s="23" t="n">
        <v>3.47</v>
      </c>
      <c r="I4" s="24">
        <f>G4+H4</f>
        <v/>
      </c>
      <c r="J4" s="6">
        <f>F4*I4/100</f>
        <v/>
      </c>
      <c r="K4" s="25">
        <f>IFERROR(VLOOKUP(D4,$T$2:$U$6,2,FALSE),4.65)</f>
        <v/>
      </c>
      <c r="L4" s="26" t="n">
        <v>0.05</v>
      </c>
      <c r="M4" s="25">
        <f>K4+L4</f>
        <v/>
      </c>
      <c r="N4" s="9">
        <f>J4*M4</f>
        <v/>
      </c>
      <c r="O4" s="3" t="n">
        <v>3200</v>
      </c>
      <c r="P4" s="10">
        <f>IF(O4=0,0,J4/O4)</f>
        <v/>
      </c>
      <c r="Q4" s="2">
        <f>IF(P4&gt;=1,"On target","Below target")</f>
        <v/>
      </c>
      <c r="R4" s="2" t="inlineStr"/>
      <c r="T4" s="11" t="inlineStr">
        <is>
          <t>Lakeland Dairies</t>
        </is>
      </c>
      <c r="U4" s="27" t="n">
        <v>4.7</v>
      </c>
    </row>
    <row r="5">
      <c r="A5" s="11" t="inlineStr">
        <is>
          <t>MS-2604</t>
        </is>
      </c>
      <c r="B5" s="11" t="inlineStr">
        <is>
          <t>Cian Ryan</t>
        </is>
      </c>
      <c r="C5" s="11" t="inlineStr">
        <is>
          <t>Waterford</t>
        </is>
      </c>
      <c r="D5" s="11" t="inlineStr">
        <is>
          <t>Tirlán</t>
        </is>
      </c>
      <c r="E5" s="11" t="inlineStr">
        <is>
          <t>01/04/2026</t>
        </is>
      </c>
      <c r="F5" s="3" t="n">
        <v>56800</v>
      </c>
      <c r="G5" s="23" t="n">
        <v>4.4</v>
      </c>
      <c r="H5" s="23" t="n">
        <v>3.62</v>
      </c>
      <c r="I5" s="28">
        <f>G5+H5</f>
        <v/>
      </c>
      <c r="J5" s="14">
        <f>F5*I5/100</f>
        <v/>
      </c>
      <c r="K5" s="27">
        <f>IFERROR(VLOOKUP(D5,$T$2:$U$6,2,FALSE),4.65)</f>
        <v/>
      </c>
      <c r="L5" s="26" t="n">
        <v>0.1</v>
      </c>
      <c r="M5" s="27">
        <f>K5+L5</f>
        <v/>
      </c>
      <c r="N5" s="15">
        <f>J5*M5</f>
        <v/>
      </c>
      <c r="O5" s="3" t="n">
        <v>4600</v>
      </c>
      <c r="P5" s="16">
        <f>IF(O5=0,0,J5/O5)</f>
        <v/>
      </c>
      <c r="Q5" s="11">
        <f>IF(P5&gt;=1,"On target","Below target")</f>
        <v/>
      </c>
      <c r="R5" s="11" t="inlineStr">
        <is>
          <t>Peak spring grass</t>
        </is>
      </c>
      <c r="T5" s="11" t="inlineStr">
        <is>
          <t>Aurivo</t>
        </is>
      </c>
      <c r="U5" s="27" t="n">
        <v>4.65</v>
      </c>
    </row>
    <row r="6">
      <c r="A6" s="2" t="inlineStr">
        <is>
          <t>MS-2605</t>
        </is>
      </c>
      <c r="B6" s="2" t="inlineStr">
        <is>
          <t>Saoirse Walsh</t>
        </is>
      </c>
      <c r="C6" s="2" t="inlineStr">
        <is>
          <t>Kilkenny</t>
        </is>
      </c>
      <c r="D6" s="2" t="inlineStr">
        <is>
          <t>Glanbia</t>
        </is>
      </c>
      <c r="E6" s="2" t="inlineStr">
        <is>
          <t>01/05/2026</t>
        </is>
      </c>
      <c r="F6" s="3" t="n">
        <v>61000</v>
      </c>
      <c r="G6" s="23" t="n">
        <v>4.45</v>
      </c>
      <c r="H6" s="23" t="n">
        <v>3.7</v>
      </c>
      <c r="I6" s="24">
        <f>G6+H6</f>
        <v/>
      </c>
      <c r="J6" s="6">
        <f>F6*I6/100</f>
        <v/>
      </c>
      <c r="K6" s="25">
        <f>IFERROR(VLOOKUP(D6,$T$2:$U$6,2,FALSE),4.65)</f>
        <v/>
      </c>
      <c r="L6" s="26" t="n">
        <v>0.12</v>
      </c>
      <c r="M6" s="25">
        <f>K6+L6</f>
        <v/>
      </c>
      <c r="N6" s="9">
        <f>J6*M6</f>
        <v/>
      </c>
      <c r="O6" s="3" t="n">
        <v>4800</v>
      </c>
      <c r="P6" s="10">
        <f>IF(O6=0,0,J6/O6)</f>
        <v/>
      </c>
      <c r="Q6" s="2">
        <f>IF(P6&gt;=1,"On target","Below target")</f>
        <v/>
      </c>
      <c r="R6" s="2" t="inlineStr">
        <is>
          <t>Top quality bonus</t>
        </is>
      </c>
      <c r="T6" s="11" t="inlineStr">
        <is>
          <t>Glanbia</t>
        </is>
      </c>
      <c r="U6" s="27" t="n">
        <v>4.71</v>
      </c>
    </row>
    <row r="7">
      <c r="A7" s="11" t="inlineStr">
        <is>
          <t>MS-2606</t>
        </is>
      </c>
      <c r="B7" s="11" t="inlineStr">
        <is>
          <t>Conor Byrne</t>
        </is>
      </c>
      <c r="C7" s="11" t="inlineStr">
        <is>
          <t>Tipperary</t>
        </is>
      </c>
      <c r="D7" s="11" t="inlineStr">
        <is>
          <t>Dairygold</t>
        </is>
      </c>
      <c r="E7" s="11" t="inlineStr">
        <is>
          <t>01/06/2026</t>
        </is>
      </c>
      <c r="F7" s="3" t="n">
        <v>54000</v>
      </c>
      <c r="G7" s="23" t="n">
        <v>4.22</v>
      </c>
      <c r="H7" s="23" t="n">
        <v>3.55</v>
      </c>
      <c r="I7" s="28">
        <f>G7+H7</f>
        <v/>
      </c>
      <c r="J7" s="14">
        <f>F7*I7/100</f>
        <v/>
      </c>
      <c r="K7" s="27">
        <f>IFERROR(VLOOKUP(D7,$T$2:$U$6,2,FALSE),4.65)</f>
        <v/>
      </c>
      <c r="L7" s="26" t="n">
        <v>0</v>
      </c>
      <c r="M7" s="27">
        <f>K7+L7</f>
        <v/>
      </c>
      <c r="N7" s="15">
        <f>J7*M7</f>
        <v/>
      </c>
      <c r="O7" s="3" t="n">
        <v>4100</v>
      </c>
      <c r="P7" s="16">
        <f>IF(O7=0,0,J7/O7)</f>
        <v/>
      </c>
      <c r="Q7" s="11">
        <f>IF(P7&gt;=1,"On target","Below target")</f>
        <v/>
      </c>
      <c r="R7" s="11" t="inlineStr"/>
    </row>
    <row r="8">
      <c r="A8" s="2" t="inlineStr">
        <is>
          <t>MS-2607</t>
        </is>
      </c>
      <c r="B8" s="2" t="inlineStr">
        <is>
          <t>Ciara Doyle</t>
        </is>
      </c>
      <c r="C8" s="2" t="inlineStr">
        <is>
          <t>Wexford</t>
        </is>
      </c>
      <c r="D8" s="2" t="inlineStr">
        <is>
          <t>Lakeland Dairies</t>
        </is>
      </c>
      <c r="E8" s="2" t="inlineStr">
        <is>
          <t>01/07/2026</t>
        </is>
      </c>
      <c r="F8" s="3" t="n">
        <v>47300</v>
      </c>
      <c r="G8" s="23" t="n">
        <v>4.1</v>
      </c>
      <c r="H8" s="23" t="n">
        <v>3.49</v>
      </c>
      <c r="I8" s="24">
        <f>G8+H8</f>
        <v/>
      </c>
      <c r="J8" s="6">
        <f>F8*I8/100</f>
        <v/>
      </c>
      <c r="K8" s="25">
        <f>IFERROR(VLOOKUP(D8,$T$2:$U$6,2,FALSE),4.65)</f>
        <v/>
      </c>
      <c r="L8" s="26" t="n">
        <v>-0.03</v>
      </c>
      <c r="M8" s="25">
        <f>K8+L8</f>
        <v/>
      </c>
      <c r="N8" s="9">
        <f>J8*M8</f>
        <v/>
      </c>
      <c r="O8" s="3" t="n">
        <v>3600</v>
      </c>
      <c r="P8" s="10">
        <f>IF(O8=0,0,J8/O8)</f>
        <v/>
      </c>
      <c r="Q8" s="2">
        <f>IF(P8&gt;=1,"On target","Below target")</f>
        <v/>
      </c>
      <c r="R8" s="2" t="inlineStr">
        <is>
          <t>SCC deduction applied</t>
        </is>
      </c>
    </row>
    <row r="9">
      <c r="A9" s="11" t="inlineStr">
        <is>
          <t>MS-2608</t>
        </is>
      </c>
      <c r="B9" s="11" t="inlineStr">
        <is>
          <t>Oisín McCarthy</t>
        </is>
      </c>
      <c r="C9" s="11" t="inlineStr">
        <is>
          <t>Sligo</t>
        </is>
      </c>
      <c r="D9" s="11" t="inlineStr">
        <is>
          <t>Aurivo</t>
        </is>
      </c>
      <c r="E9" s="11" t="inlineStr">
        <is>
          <t>01/08/2026</t>
        </is>
      </c>
      <c r="F9" s="3" t="n">
        <v>39800</v>
      </c>
      <c r="G9" s="23" t="n">
        <v>4.02</v>
      </c>
      <c r="H9" s="23" t="n">
        <v>3.45</v>
      </c>
      <c r="I9" s="28">
        <f>G9+H9</f>
        <v/>
      </c>
      <c r="J9" s="14">
        <f>F9*I9/100</f>
        <v/>
      </c>
      <c r="K9" s="27">
        <f>IFERROR(VLOOKUP(D9,$T$2:$U$6,2,FALSE),4.65)</f>
        <v/>
      </c>
      <c r="L9" s="26" t="n">
        <v>0</v>
      </c>
      <c r="M9" s="27">
        <f>K9+L9</f>
        <v/>
      </c>
      <c r="N9" s="15">
        <f>J9*M9</f>
        <v/>
      </c>
      <c r="O9" s="3" t="n">
        <v>2900</v>
      </c>
      <c r="P9" s="16">
        <f>IF(O9=0,0,J9/O9)</f>
        <v/>
      </c>
      <c r="Q9" s="11">
        <f>IF(P9&gt;=1,"On target","Below target")</f>
        <v/>
      </c>
      <c r="R9" s="11" t="inlineStr"/>
    </row>
    <row r="10">
      <c r="A10" s="2" t="inlineStr">
        <is>
          <t>MS-2609</t>
        </is>
      </c>
      <c r="B10" s="2" t="inlineStr">
        <is>
          <t>Róisín Ní Bhraonáin</t>
        </is>
      </c>
      <c r="C10" s="2" t="inlineStr">
        <is>
          <t>Dundalk</t>
        </is>
      </c>
      <c r="D10" s="2" t="inlineStr">
        <is>
          <t>Lakeland Dairies</t>
        </is>
      </c>
      <c r="E10" s="2" t="inlineStr">
        <is>
          <t>01/09/2026</t>
        </is>
      </c>
      <c r="F10" s="3" t="n">
        <v>35600</v>
      </c>
      <c r="G10" s="23" t="n">
        <v>4.18</v>
      </c>
      <c r="H10" s="23" t="n">
        <v>3.5</v>
      </c>
      <c r="I10" s="24">
        <f>G10+H10</f>
        <v/>
      </c>
      <c r="J10" s="6">
        <f>F10*I10/100</f>
        <v/>
      </c>
      <c r="K10" s="25">
        <f>IFERROR(VLOOKUP(D10,$T$2:$U$6,2,FALSE),4.65)</f>
        <v/>
      </c>
      <c r="L10" s="26" t="n">
        <v>0.06</v>
      </c>
      <c r="M10" s="25">
        <f>K10+L10</f>
        <v/>
      </c>
      <c r="N10" s="9">
        <f>J10*M10</f>
        <v/>
      </c>
      <c r="O10" s="3" t="n">
        <v>2700</v>
      </c>
      <c r="P10" s="10">
        <f>IF(O10=0,0,J10/O10)</f>
        <v/>
      </c>
      <c r="Q10" s="2">
        <f>IF(P10&gt;=1,"On target","Below target")</f>
        <v/>
      </c>
      <c r="R10" s="2" t="inlineStr">
        <is>
          <t>Autumn supply stabilising</t>
        </is>
      </c>
    </row>
  </sheetData>
  <conditionalFormatting sqref="Q2:Q10">
    <cfRule type="expression" priority="1" dxfId="0" stopIfTrue="1">
      <formula>Q2="On target"</formula>
    </cfRule>
    <cfRule type="expression" priority="2" dxfId="1" stopIfTrue="1">
      <formula>Q2="Below target"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18" customWidth="1" min="4" max="4"/>
    <col width="20" customWidth="1" min="5" max="5"/>
    <col width="18" customWidth="1" min="6" max="6"/>
    <col width="12" customWidth="1" min="7" max="7"/>
  </cols>
  <sheetData>
    <row r="1">
      <c r="A1" s="17" t="inlineStr">
        <is>
          <t>Milk Solids Co-op Supply Tracker — Dashboard 2026</t>
        </is>
      </c>
    </row>
    <row r="2"/>
    <row r="3">
      <c r="A3" s="18" t="inlineStr">
        <is>
          <t>Total Milk Volume (L)</t>
        </is>
      </c>
      <c r="B3" s="14">
        <f>SUM('Supply Log'!F2:F10)</f>
        <v/>
      </c>
      <c r="D3" s="19" t="inlineStr">
        <is>
          <t>Co-op</t>
        </is>
      </c>
      <c r="E3" s="19" t="inlineStr">
        <is>
          <t>Total Milk Solids (kg)</t>
        </is>
      </c>
      <c r="F3" s="19" t="inlineStr">
        <is>
          <t>Total Payment (€)</t>
        </is>
      </c>
      <c r="G3" s="19" t="inlineStr">
        <is>
          <t>Deliveries</t>
        </is>
      </c>
    </row>
    <row r="4">
      <c r="A4" s="18" t="inlineStr">
        <is>
          <t>Total Milk Solids (kg)</t>
        </is>
      </c>
      <c r="B4" s="14">
        <f>SUM('Supply Log'!J2:J10)</f>
        <v/>
      </c>
      <c r="D4" s="11" t="inlineStr">
        <is>
          <t>Tirlán</t>
        </is>
      </c>
      <c r="E4" s="14">
        <f>SUMIF('Supply Log'!D2:D10,D4,'Supply Log'!J2:J10)</f>
        <v/>
      </c>
      <c r="F4" s="15">
        <f>SUMIF('Supply Log'!D2:D10,D4,'Supply Log'!N2:N10)</f>
        <v/>
      </c>
      <c r="G4" s="20">
        <f>COUNTIF('Supply Log'!D2:D10,D4)</f>
        <v/>
      </c>
    </row>
    <row r="5">
      <c r="A5" s="18" t="inlineStr">
        <is>
          <t>Average Butterfat (%)</t>
        </is>
      </c>
      <c r="B5" s="28">
        <f>AVERAGE('Supply Log'!G2:G10)</f>
        <v/>
      </c>
      <c r="D5" s="11" t="inlineStr">
        <is>
          <t>Dairygold</t>
        </is>
      </c>
      <c r="E5" s="14">
        <f>SUMIF('Supply Log'!D2:D10,D5,'Supply Log'!J2:J10)</f>
        <v/>
      </c>
      <c r="F5" s="15">
        <f>SUMIF('Supply Log'!D2:D10,D5,'Supply Log'!N2:N10)</f>
        <v/>
      </c>
      <c r="G5" s="20">
        <f>COUNTIF('Supply Log'!D2:D10,D5)</f>
        <v/>
      </c>
    </row>
    <row r="6">
      <c r="A6" s="18" t="inlineStr">
        <is>
          <t>Average Protein (%)</t>
        </is>
      </c>
      <c r="B6" s="28">
        <f>AVERAGE('Supply Log'!H2:H10)</f>
        <v/>
      </c>
      <c r="D6" s="11" t="inlineStr">
        <is>
          <t>Lakeland Dairies</t>
        </is>
      </c>
      <c r="E6" s="14">
        <f>SUMIF('Supply Log'!D2:D10,D6,'Supply Log'!J2:J10)</f>
        <v/>
      </c>
      <c r="F6" s="15">
        <f>SUMIF('Supply Log'!D2:D10,D6,'Supply Log'!N2:N10)</f>
        <v/>
      </c>
      <c r="G6" s="20">
        <f>COUNTIF('Supply Log'!D2:D10,D6)</f>
        <v/>
      </c>
    </row>
    <row r="7">
      <c r="A7" s="18" t="inlineStr">
        <is>
          <t>Total Estimated Payment (€)</t>
        </is>
      </c>
      <c r="B7" s="15">
        <f>SUM('Supply Log'!N2:N10)</f>
        <v/>
      </c>
      <c r="D7" s="11" t="inlineStr">
        <is>
          <t>Aurivo</t>
        </is>
      </c>
      <c r="E7" s="14">
        <f>SUMIF('Supply Log'!D2:D10,D7,'Supply Log'!J2:J10)</f>
        <v/>
      </c>
      <c r="F7" s="15">
        <f>SUMIF('Supply Log'!D2:D10,D7,'Supply Log'!N2:N10)</f>
        <v/>
      </c>
      <c r="G7" s="20">
        <f>COUNTIF('Supply Log'!D2:D10,D7)</f>
        <v/>
      </c>
    </row>
    <row r="8">
      <c r="A8" s="18" t="inlineStr">
        <is>
          <t>Suppliers On Target</t>
        </is>
      </c>
      <c r="B8" s="20">
        <f>COUNTIF('Supply Log'!Q2:Q10,"On target")</f>
        <v/>
      </c>
      <c r="D8" s="11" t="inlineStr">
        <is>
          <t>Glanbia</t>
        </is>
      </c>
      <c r="E8" s="14">
        <f>SUMIF('Supply Log'!D2:D10,D8,'Supply Log'!J2:J10)</f>
        <v/>
      </c>
      <c r="F8" s="15">
        <f>SUMIF('Supply Log'!D2:D10,D8,'Supply Log'!N2:N10)</f>
        <v/>
      </c>
      <c r="G8" s="20">
        <f>COUNTIF('Supply Log'!D2:D10,D8)</f>
        <v/>
      </c>
    </row>
    <row r="9">
      <c r="A9" s="18" t="inlineStr">
        <is>
          <t>Overall Target Achievement</t>
        </is>
      </c>
      <c r="B9" s="16">
        <f>IFERROR(SUM('Supply Log'!J2:J10)/SUM('Supply Log'!O2:O10),0)</f>
        <v/>
      </c>
    </row>
    <row r="10"/>
    <row r="11"/>
    <row r="12">
      <c r="A12" s="11" t="inlineStr">
        <is>
          <t>On target</t>
        </is>
      </c>
      <c r="B12" s="11">
        <f>COUNTIF('Supply Log'!Q2:Q10,"On target")</f>
        <v/>
      </c>
    </row>
    <row r="13">
      <c r="A13" s="11" t="inlineStr">
        <is>
          <t>Below target</t>
        </is>
      </c>
      <c r="B13" s="11">
        <f>COUNTIF('Supply Log'!Q2:Q10,"Below target")</f>
        <v/>
      </c>
    </row>
  </sheetData>
  <mergeCells count="1">
    <mergeCell ref="A1:D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Milk Solids Co-op Supply Tracker — Instructions</t>
        </is>
      </c>
    </row>
    <row r="2"/>
    <row r="3">
      <c r="A3" s="22" t="inlineStr">
        <is>
          <t>• Enter one row per supplier and supply month on the Supply Log sheet.</t>
        </is>
      </c>
    </row>
    <row r="4">
      <c r="A4" s="22" t="inlineStr">
        <is>
          <t>• Record litres, butterfat, protein, target and any quality bonus in the pale-yellow input cells.</t>
        </is>
      </c>
    </row>
    <row r="5">
      <c r="A5" s="22" t="inlineStr">
        <is>
          <t>• Milk solids are calculated as litres × (butterfat + protein) ÷ 100.</t>
        </is>
      </c>
    </row>
    <row r="6">
      <c r="A6" s="22" t="inlineStr">
        <is>
          <t>• Co-op pricing is retrieved using VLOOKUP from the table in columns T:U; verify against the relevant monthly milk statement.</t>
        </is>
      </c>
    </row>
    <row r="7">
      <c r="A7" s="22" t="inlineStr">
        <is>
          <t>• You may overwrite the Base Price cell with a confirmed monthly price where it differs from the standard lookup value.</t>
        </is>
      </c>
    </row>
    <row r="8">
      <c r="A8" s="22" t="inlineStr">
        <is>
          <t>• Payments are estimates only and should be reconciled to the co-op remittance.</t>
        </is>
      </c>
    </row>
    <row r="9">
      <c r="A9" s="22" t="inlineStr">
        <is>
          <t>• Dates use the Irish format DD/MM/YYYY; supply months are shown as MM/YYYY.</t>
        </is>
      </c>
    </row>
    <row r="10">
      <c r="A10" s="22" t="inlineStr">
        <is>
          <t>• Currency is displayed in euro (€).</t>
        </is>
      </c>
    </row>
    <row r="11">
      <c r="A11" s="22" t="inlineStr">
        <is>
          <t>• Suggested checks include laboratory results, collection records, co-op statements and VAT treatment where applicable.</t>
        </is>
      </c>
    </row>
    <row r="12">
      <c r="A12" s="22" t="inlineStr">
        <is>
          <t>• This tracker is operational only and is not a VAT3 or Revenue return.</t>
        </is>
      </c>
    </row>
    <row r="13">
      <c r="A13" s="22" t="inlineStr">
        <is>
          <t>• The Dashboard summarises totals, co-op performance and target achievement automatically.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2026-08-01T15:36:53Z</dcterms:created>
  <dcterms:modified xmlns:dcterms="http://purl.org/dc/terms/" xmlns:xsi="http://www.w3.org/2001/XMLSchema-instance" xsi:type="dcterms:W3CDTF">2026-08-01T15:36:53Z</dcterms:modified>
</cp:coreProperties>
</file>