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air Deal Estimate" sheetId="1" state="visible" r:id="rId1"/>
    <sheet xmlns:r="http://schemas.openxmlformats.org/officeDocument/2006/relationships" name="Scheme Rules" sheetId="2" state="visible" r:id="rId2"/>
    <sheet xmlns:r="http://schemas.openxmlformats.org/officeDocument/2006/relationships" name="Summary 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quot;€&quot;#,##0.00"/>
    <numFmt numFmtId="166" formatCode="0.000"/>
  </numFmts>
  <fonts count="9">
    <font>
      <name val="Calibri"/>
      <family val="2"/>
      <color theme="1"/>
      <sz val="11"/>
      <scheme val="minor"/>
    </font>
    <font>
      <name val="Calibri"/>
      <b val="1"/>
      <color rgb="00FFFFFF"/>
      <sz val="13"/>
    </font>
    <font>
      <name val="Calibri"/>
      <b val="1"/>
      <sz val="10"/>
    </font>
    <font>
      <name val="Calibri"/>
      <sz val="10"/>
    </font>
    <font>
      <name val="Calibri"/>
      <b val="1"/>
      <color rgb="00FFFFFF"/>
      <sz val="11"/>
    </font>
    <font>
      <name val="Calibri"/>
      <b val="1"/>
      <color rgb="00FFFFFF"/>
      <sz val="10"/>
    </font>
    <font>
      <name val="Calibri"/>
      <i val="1"/>
      <sz val="9"/>
    </font>
    <font>
      <name val="Calibri"/>
      <i val="1"/>
      <color rgb="00C8102E"/>
      <sz val="10"/>
    </font>
    <font>
      <name val="Calibri"/>
      <b val="1"/>
      <i val="1"/>
      <color rgb="00C8102E"/>
      <sz val="10"/>
    </font>
  </fonts>
  <fills count="7">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C8102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4">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164" fontId="3" fillId="3" borderId="1" pivotButton="0" quotePrefix="0" xfId="0"/>
    <xf numFmtId="165" fontId="0" fillId="3" borderId="1" pivotButton="0" quotePrefix="0" xfId="0"/>
    <xf numFmtId="0" fontId="4" fillId="2" borderId="1" applyAlignment="1" pivotButton="0" quotePrefix="0" xfId="0">
      <alignment horizontal="center" vertical="center" wrapText="1"/>
    </xf>
    <xf numFmtId="0" fontId="3" fillId="4" borderId="1" applyAlignment="1" pivotButton="0" quotePrefix="0" xfId="0">
      <alignment horizontal="left" vertical="center"/>
    </xf>
    <xf numFmtId="0" fontId="3" fillId="4" borderId="1" applyAlignment="1" pivotButton="0" quotePrefix="0" xfId="0">
      <alignment horizontal="center" vertical="center"/>
    </xf>
    <xf numFmtId="165" fontId="3" fillId="3" borderId="1" applyAlignment="1" pivotButton="0" quotePrefix="0" xfId="0">
      <alignment horizontal="right" vertical="center"/>
    </xf>
    <xf numFmtId="165" fontId="3" fillId="4" borderId="1" applyAlignment="1" pivotButton="0" quotePrefix="0" xfId="0">
      <alignment horizontal="right" vertical="center"/>
    </xf>
    <xf numFmtId="165" fontId="2" fillId="4" borderId="1" applyAlignment="1" pivotButton="0" quotePrefix="0" xfId="0">
      <alignment horizontal="right" vertical="center"/>
    </xf>
    <xf numFmtId="10" fontId="3" fillId="4" borderId="1" applyAlignment="1" pivotButton="0" quotePrefix="0" xfId="0">
      <alignment horizontal="center" vertical="center"/>
    </xf>
    <xf numFmtId="0" fontId="3" fillId="5" borderId="1" applyAlignment="1" pivotButton="0" quotePrefix="0" xfId="0">
      <alignment horizontal="left" vertical="center"/>
    </xf>
    <xf numFmtId="0" fontId="3" fillId="5" borderId="1" applyAlignment="1" pivotButton="0" quotePrefix="0" xfId="0">
      <alignment horizontal="center" vertical="center"/>
    </xf>
    <xf numFmtId="165" fontId="3" fillId="5" borderId="1" applyAlignment="1" pivotButton="0" quotePrefix="0" xfId="0">
      <alignment horizontal="right" vertical="center"/>
    </xf>
    <xf numFmtId="165" fontId="2" fillId="5" borderId="1" applyAlignment="1" pivotButton="0" quotePrefix="0" xfId="0">
      <alignment horizontal="right" vertical="center"/>
    </xf>
    <xf numFmtId="10" fontId="3" fillId="5" borderId="1" applyAlignment="1" pivotButton="0" quotePrefix="0" xfId="0">
      <alignment horizontal="center" vertical="center"/>
    </xf>
    <xf numFmtId="0" fontId="5" fillId="6" borderId="1" applyAlignment="1" pivotButton="0" quotePrefix="0" xfId="0">
      <alignment horizontal="left" vertical="center"/>
    </xf>
    <xf numFmtId="0" fontId="5" fillId="6" borderId="1" applyAlignment="1" pivotButton="0" quotePrefix="0" xfId="0">
      <alignment horizontal="center" vertical="center"/>
    </xf>
    <xf numFmtId="165" fontId="5" fillId="6" borderId="1" applyAlignment="1" pivotButton="0" quotePrefix="0" xfId="0">
      <alignment horizontal="center" vertical="center"/>
    </xf>
    <xf numFmtId="0" fontId="2" fillId="4" borderId="1" applyAlignment="1" pivotButton="0" quotePrefix="0" xfId="0">
      <alignment horizontal="left" vertical="center"/>
    </xf>
    <xf numFmtId="0" fontId="2" fillId="4" borderId="1" applyAlignment="1" pivotButton="0" quotePrefix="0" xfId="0">
      <alignment horizontal="center" vertical="center"/>
    </xf>
    <xf numFmtId="165" fontId="2" fillId="4" borderId="1" applyAlignment="1" pivotButton="0" quotePrefix="0" xfId="0">
      <alignment horizontal="center" vertical="center"/>
    </xf>
    <xf numFmtId="0" fontId="6" fillId="0" borderId="0" pivotButton="0" quotePrefix="0" xfId="0"/>
    <xf numFmtId="0" fontId="4" fillId="2" borderId="1" applyAlignment="1" pivotButton="0" quotePrefix="0" xfId="0">
      <alignment horizontal="center" vertical="center"/>
    </xf>
    <xf numFmtId="166" fontId="3" fillId="5" borderId="1" applyAlignment="1" pivotButton="0" quotePrefix="0" xfId="0">
      <alignment horizontal="center" vertical="center"/>
    </xf>
    <xf numFmtId="166" fontId="3" fillId="4" borderId="1" applyAlignment="1" pivotButton="0" quotePrefix="0" xfId="0">
      <alignment horizontal="center" vertical="center"/>
    </xf>
    <xf numFmtId="166" fontId="2" fillId="0" borderId="1" pivotButton="0" quotePrefix="0" xfId="0"/>
    <xf numFmtId="2" fontId="2" fillId="0" borderId="1" pivotButton="0" quotePrefix="0" xfId="0"/>
    <xf numFmtId="0" fontId="7" fillId="0" borderId="0" applyAlignment="1" pivotButton="0" quotePrefix="0" xfId="0">
      <alignment horizontal="left" vertical="center"/>
    </xf>
    <xf numFmtId="0" fontId="2" fillId="5" borderId="1" applyAlignment="1" pivotButton="0" quotePrefix="0" xfId="0">
      <alignment horizontal="right" vertical="center"/>
    </xf>
    <xf numFmtId="10" fontId="2" fillId="4" borderId="1" applyAlignment="1" pivotButton="0" quotePrefix="0" xfId="0">
      <alignment horizontal="right" vertical="center"/>
    </xf>
    <xf numFmtId="0" fontId="4" fillId="2" borderId="1" pivotButton="0" quotePrefix="0" xfId="0"/>
    <xf numFmtId="0" fontId="8" fillId="0" borderId="0" applyAlignment="1" pivotButton="0" quotePrefix="0" xfId="0">
      <alignment horizontal="left" vertical="center" wrapText="1"/>
    </xf>
  </cellXfs>
  <cellStyles count="1">
    <cellStyle name="Normal" xfId="0" builtinId="0" hidden="0"/>
  </cellStyles>
  <dxfs count="1">
    <dxf>
      <font>
        <b val="1"/>
        <color rgb="00FFFFFF"/>
      </font>
      <fill>
        <patternFill patternType="solid">
          <fgColor rgb="00DC262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Estimated Annual Contribution by Applicant</a:t>
            </a:r>
          </a:p>
        </rich>
      </tx>
    </title>
    <plotArea>
      <barChart>
        <barDir val="col"/>
        <grouping val="clustered"/>
        <ser>
          <idx val="0"/>
          <order val="0"/>
          <tx>
            <strRef>
              <f>'Summary Dashboard'!B12</f>
            </strRef>
          </tx>
          <spPr>
            <a:solidFill xmlns:a="http://schemas.openxmlformats.org/drawingml/2006/main">
              <a:srgbClr val="1E293B"/>
            </a:solidFill>
            <a:ln xmlns:a="http://schemas.openxmlformats.org/drawingml/2006/main">
              <a:prstDash val="solid"/>
            </a:ln>
          </spPr>
          <cat>
            <numRef>
              <f>'Summary Dashboard'!$A$13:$A$21</f>
            </numRef>
          </cat>
          <val>
            <numRef>
              <f>'Summary Dashboard'!$B$13:$B$21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Applicant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Annual Contribution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Applicants by County</a:t>
            </a:r>
          </a:p>
        </rich>
      </tx>
    </title>
    <plotArea>
      <pieChart>
        <varyColors val="1"/>
        <ser>
          <idx val="0"/>
          <order val="0"/>
          <tx>
            <strRef>
              <f>'Summary Dashboard'!F12</f>
            </strRef>
          </tx>
          <spPr>
            <a:ln xmlns:a="http://schemas.openxmlformats.org/drawingml/2006/main">
              <a:prstDash val="solid"/>
            </a:ln>
          </spPr>
          <cat>
            <numRef>
              <f>'Summary Dashboard'!$E$13:$E$21</f>
            </numRef>
          </cat>
          <val>
            <numRef>
              <f>'Summary Dashboard'!$F$13:$F$21</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21</row>
      <rowOff>0</rowOff>
    </from>
    <ext cx="720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21</row>
      <rowOff>0</rowOff>
    </from>
    <ext cx="5040000" cy="43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5"/>
  <sheetViews>
    <sheetView workbookViewId="0">
      <selection activeCell="A1" sqref="A1"/>
    </sheetView>
  </sheetViews>
  <sheetFormatPr baseColWidth="8" defaultRowHeight="15"/>
  <cols>
    <col width="20" customWidth="1" min="1" max="1"/>
    <col width="12" customWidth="1" min="2" max="2"/>
    <col width="14" customWidth="1" min="3" max="3"/>
    <col width="10" customWidth="1" min="4" max="4"/>
    <col width="10" customWidth="1" min="5" max="5"/>
    <col width="16" customWidth="1" min="6" max="6"/>
    <col width="14" customWidth="1" min="7" max="7"/>
    <col width="14" customWidth="1" min="8" max="8"/>
    <col width="16" customWidth="1" min="9" max="9"/>
    <col width="10" customWidth="1" min="10" max="10"/>
    <col width="18" customWidth="1" min="11" max="11"/>
    <col width="18" customWidth="1" min="12" max="12"/>
    <col width="18" customWidth="1" min="13" max="13"/>
    <col width="16" customWidth="1" min="14" max="14"/>
    <col width="30" customWidth="1" min="15" max="15"/>
  </cols>
  <sheetData>
    <row r="1" ht="30" customHeight="1">
      <c r="A1" s="1" t="inlineStr">
        <is>
          <t>Fair Deal Scheme – Nursing Homes Support Scheme Contribution Estimate</t>
        </is>
      </c>
    </row>
    <row r="2" ht="22" customHeight="1">
      <c r="A2" s="2" t="inlineStr">
        <is>
          <t>Application Date:</t>
        </is>
      </c>
      <c r="B2" s="3" t="inlineStr">
        <is>
          <t>19/06/2026</t>
        </is>
      </c>
      <c r="D2" s="2" t="inlineStr">
        <is>
          <t>Threshold for High Contribution Alert (€):</t>
        </is>
      </c>
      <c r="E2" s="4" t="n">
        <v>15000</v>
      </c>
    </row>
    <row r="3" ht="38" customHeight="1">
      <c r="A3" s="5" t="inlineStr">
        <is>
          <t>Applicant Name</t>
        </is>
      </c>
      <c r="B3" s="5" t="inlineStr">
        <is>
          <t>County</t>
        </is>
      </c>
      <c r="C3" s="5" t="inlineStr">
        <is>
          <t>Date of Birth</t>
        </is>
      </c>
      <c r="D3" s="5" t="inlineStr">
        <is>
          <t>Age at
Application</t>
        </is>
      </c>
      <c r="E3" s="5" t="inlineStr">
        <is>
          <t>Marital
Status</t>
        </is>
      </c>
      <c r="F3" s="5" t="inlineStr">
        <is>
          <t>Property
Value (€)</t>
        </is>
      </c>
      <c r="G3" s="5" t="inlineStr">
        <is>
          <t>Other
Assets (€)</t>
        </is>
      </c>
      <c r="H3" s="5" t="inlineStr">
        <is>
          <t>Weekly
Income (€)</t>
        </is>
      </c>
      <c r="I3" s="5" t="inlineStr">
        <is>
          <t>Weekly
Care Cost (€)</t>
        </is>
      </c>
      <c r="J3" s="5" t="inlineStr">
        <is>
          <t>Protected
Asset?</t>
        </is>
      </c>
      <c r="K3" s="5" t="inlineStr">
        <is>
          <t>Max Annual
Contrib Cap (€)</t>
        </is>
      </c>
      <c r="L3" s="5" t="inlineStr">
        <is>
          <t>Est. Annual
Contribution (€)</t>
        </is>
      </c>
      <c r="M3" s="5" t="inlineStr">
        <is>
          <t>Est. Weekly
Contribution (€)</t>
        </is>
      </c>
      <c r="N3" s="5" t="inlineStr">
        <is>
          <t>Contrib as %
of Care Cost</t>
        </is>
      </c>
      <c r="O3" s="5" t="inlineStr">
        <is>
          <t>Notes</t>
        </is>
      </c>
    </row>
    <row r="4" ht="18" customHeight="1">
      <c r="A4" s="6" t="inlineStr">
        <is>
          <t>Aoife Byrne</t>
        </is>
      </c>
      <c r="B4" s="7" t="inlineStr">
        <is>
          <t>Dublin</t>
        </is>
      </c>
      <c r="C4" s="7" t="inlineStr">
        <is>
          <t>12/03/1945</t>
        </is>
      </c>
      <c r="D4" s="7">
        <f>INT((DATEVALUE($B$2)-DATEVALUE(C4))/365.25)</f>
        <v/>
      </c>
      <c r="E4" s="7" t="inlineStr">
        <is>
          <t>Single</t>
        </is>
      </c>
      <c r="F4" s="8" t="n">
        <v>320000</v>
      </c>
      <c r="G4" s="8" t="n">
        <v>45000</v>
      </c>
      <c r="H4" s="8" t="n">
        <v>320</v>
      </c>
      <c r="I4" s="8" t="n">
        <v>1350</v>
      </c>
      <c r="J4" s="7" t="inlineStr">
        <is>
          <t>Yes</t>
        </is>
      </c>
      <c r="K4" s="9">
        <f>IFERROR(IF(J4="Yes",(F4*0.075*3)+(G4*0.075),(F4*0.075*3)+(G4*0.075)),0)</f>
        <v/>
      </c>
      <c r="L4" s="10">
        <f>IFERROR(MIN(IF(E4="Married",(H4*0.8*52)+(F4*0.075*0.5)+(G4*0.075*0.5),IF(J4="Yes",(H4*0.8*52)+(G4*0.075),(H4*0.8*52)+(F4*0.075)+(G4*0.075))),K4),0)</f>
        <v/>
      </c>
      <c r="M4" s="9">
        <f>IFERROR(L4/52,0)</f>
        <v/>
      </c>
      <c r="N4" s="11">
        <f>IFERROR(L4/(I4*52),0)</f>
        <v/>
      </c>
      <c r="O4" s="6" t="inlineStr">
        <is>
          <t>Low income, high property value</t>
        </is>
      </c>
    </row>
    <row r="5" ht="18" customHeight="1">
      <c r="A5" s="12" t="inlineStr">
        <is>
          <t>Seán Murphy</t>
        </is>
      </c>
      <c r="B5" s="13" t="inlineStr">
        <is>
          <t>Cork</t>
        </is>
      </c>
      <c r="C5" s="13" t="inlineStr">
        <is>
          <t>05/07/1938</t>
        </is>
      </c>
      <c r="D5" s="13">
        <f>INT((DATEVALUE($B$2)-DATEVALUE(C5))/365.25)</f>
        <v/>
      </c>
      <c r="E5" s="13" t="inlineStr">
        <is>
          <t>Married</t>
        </is>
      </c>
      <c r="F5" s="8" t="n">
        <v>285000</v>
      </c>
      <c r="G5" s="8" t="n">
        <v>30000</v>
      </c>
      <c r="H5" s="8" t="n">
        <v>550</v>
      </c>
      <c r="I5" s="8" t="n">
        <v>1200</v>
      </c>
      <c r="J5" s="13" t="inlineStr">
        <is>
          <t>Yes</t>
        </is>
      </c>
      <c r="K5" s="14">
        <f>IFERROR(IF(J5="Yes",(F5*0.075*3)+(G5*0.075),(F5*0.075*3)+(G5*0.075)),0)</f>
        <v/>
      </c>
      <c r="L5" s="15">
        <f>IFERROR(MIN(IF(E5="Married",(H5*0.8*52)+(F5*0.075*0.5)+(G5*0.075*0.5),IF(J5="Yes",(H5*0.8*52)+(G5*0.075),(H5*0.8*52)+(F5*0.075)+(G5*0.075))),K5),0)</f>
        <v/>
      </c>
      <c r="M5" s="14">
        <f>IFERROR(L5/52,0)</f>
        <v/>
      </c>
      <c r="N5" s="16">
        <f>IFERROR(L5/(I5*52),0)</f>
        <v/>
      </c>
      <c r="O5" s="12" t="inlineStr">
        <is>
          <t>Married; property partially protected</t>
        </is>
      </c>
    </row>
    <row r="6" ht="18" customHeight="1">
      <c r="A6" s="6" t="inlineStr">
        <is>
          <t>Niamh Walsh</t>
        </is>
      </c>
      <c r="B6" s="7" t="inlineStr">
        <is>
          <t>Galway</t>
        </is>
      </c>
      <c r="C6" s="7" t="inlineStr">
        <is>
          <t>22/11/1942</t>
        </is>
      </c>
      <c r="D6" s="7">
        <f>INT((DATEVALUE($B$2)-DATEVALUE(C6))/365.25)</f>
        <v/>
      </c>
      <c r="E6" s="7" t="inlineStr">
        <is>
          <t>Single</t>
        </is>
      </c>
      <c r="F6" s="8" t="n">
        <v>150000</v>
      </c>
      <c r="G6" s="8" t="n">
        <v>20000</v>
      </c>
      <c r="H6" s="8" t="n">
        <v>280</v>
      </c>
      <c r="I6" s="8" t="n">
        <v>1100</v>
      </c>
      <c r="J6" s="7" t="inlineStr">
        <is>
          <t>No</t>
        </is>
      </c>
      <c r="K6" s="9">
        <f>IFERROR(IF(J6="Yes",(F6*0.075*3)+(G6*0.075),(F6*0.075*3)+(G6*0.075)),0)</f>
        <v/>
      </c>
      <c r="L6" s="10">
        <f>IFERROR(MIN(IF(E6="Married",(H6*0.8*52)+(F6*0.075*0.5)+(G6*0.075*0.5),IF(J6="Yes",(H6*0.8*52)+(G6*0.075),(H6*0.8*52)+(F6*0.075)+(G6*0.075))),K6),0)</f>
        <v/>
      </c>
      <c r="M6" s="9">
        <f>IFERROR(L6/52,0)</f>
        <v/>
      </c>
      <c r="N6" s="11">
        <f>IFERROR(L6/(I6*52),0)</f>
        <v/>
      </c>
      <c r="O6" s="6" t="inlineStr">
        <is>
          <t>Mid-range property; full contribution</t>
        </is>
      </c>
    </row>
    <row r="7" ht="18" customHeight="1">
      <c r="A7" s="12" t="inlineStr">
        <is>
          <t>Cian O'Connor</t>
        </is>
      </c>
      <c r="B7" s="13" t="inlineStr">
        <is>
          <t>Limerick</t>
        </is>
      </c>
      <c r="C7" s="13" t="inlineStr">
        <is>
          <t>09/01/1936</t>
        </is>
      </c>
      <c r="D7" s="13">
        <f>INT((DATEVALUE($B$2)-DATEVALUE(C7))/365.25)</f>
        <v/>
      </c>
      <c r="E7" s="13" t="inlineStr">
        <is>
          <t>Widowed</t>
        </is>
      </c>
      <c r="F7" s="8" t="n">
        <v>210000</v>
      </c>
      <c r="G7" s="8" t="n">
        <v>55000</v>
      </c>
      <c r="H7" s="8" t="n">
        <v>410</v>
      </c>
      <c r="I7" s="8" t="n">
        <v>1250</v>
      </c>
      <c r="J7" s="13" t="inlineStr">
        <is>
          <t>No</t>
        </is>
      </c>
      <c r="K7" s="14">
        <f>IFERROR(IF(J7="Yes",(F7*0.075*3)+(G7*0.075),(F7*0.075*3)+(G7*0.075)),0)</f>
        <v/>
      </c>
      <c r="L7" s="15">
        <f>IFERROR(MIN(IF(E7="Married",(H7*0.8*52)+(F7*0.075*0.5)+(G7*0.075*0.5),IF(J7="Yes",(H7*0.8*52)+(G7*0.075),(H7*0.8*52)+(F7*0.075)+(G7*0.075))),K7),0)</f>
        <v/>
      </c>
      <c r="M7" s="14">
        <f>IFERROR(L7/52,0)</f>
        <v/>
      </c>
      <c r="N7" s="16">
        <f>IFERROR(L7/(I7*52),0)</f>
        <v/>
      </c>
      <c r="O7" s="12" t="inlineStr">
        <is>
          <t>High assets; above threshold</t>
        </is>
      </c>
    </row>
    <row r="8" ht="18" customHeight="1">
      <c r="A8" s="6" t="inlineStr">
        <is>
          <t>Saoirse Kelly</t>
        </is>
      </c>
      <c r="B8" s="7" t="inlineStr">
        <is>
          <t>Waterford</t>
        </is>
      </c>
      <c r="C8" s="7" t="inlineStr">
        <is>
          <t>18/06/1950</t>
        </is>
      </c>
      <c r="D8" s="7">
        <f>INT((DATEVALUE($B$2)-DATEVALUE(C8))/365.25)</f>
        <v/>
      </c>
      <c r="E8" s="7" t="inlineStr">
        <is>
          <t>Single</t>
        </is>
      </c>
      <c r="F8" s="8" t="n">
        <v>95000</v>
      </c>
      <c r="G8" s="8" t="n">
        <v>10000</v>
      </c>
      <c r="H8" s="8" t="n">
        <v>190</v>
      </c>
      <c r="I8" s="8" t="n">
        <v>980</v>
      </c>
      <c r="J8" s="7" t="inlineStr">
        <is>
          <t>Yes</t>
        </is>
      </c>
      <c r="K8" s="9">
        <f>IFERROR(IF(J8="Yes",(F8*0.075*3)+(G8*0.075),(F8*0.075*3)+(G8*0.075)),0)</f>
        <v/>
      </c>
      <c r="L8" s="10">
        <f>IFERROR(MIN(IF(E8="Married",(H8*0.8*52)+(F8*0.075*0.5)+(G8*0.075*0.5),IF(J8="Yes",(H8*0.8*52)+(G8*0.075),(H8*0.8*52)+(F8*0.075)+(G8*0.075))),K8),0)</f>
        <v/>
      </c>
      <c r="M8" s="9">
        <f>IFERROR(L8/52,0)</f>
        <v/>
      </c>
      <c r="N8" s="11">
        <f>IFERROR(L8/(I8*52),0)</f>
        <v/>
      </c>
      <c r="O8" s="6" t="inlineStr">
        <is>
          <t>Lower value property; protected</t>
        </is>
      </c>
    </row>
    <row r="9" ht="18" customHeight="1">
      <c r="A9" s="12" t="inlineStr">
        <is>
          <t>Conor Byrne</t>
        </is>
      </c>
      <c r="B9" s="13" t="inlineStr">
        <is>
          <t>Wexford</t>
        </is>
      </c>
      <c r="C9" s="13" t="inlineStr">
        <is>
          <t>30/04/1944</t>
        </is>
      </c>
      <c r="D9" s="13">
        <f>INT((DATEVALUE($B$2)-DATEVALUE(C9))/365.25)</f>
        <v/>
      </c>
      <c r="E9" s="13" t="inlineStr">
        <is>
          <t>Married</t>
        </is>
      </c>
      <c r="F9" s="8" t="n">
        <v>340000</v>
      </c>
      <c r="G9" s="8" t="n">
        <v>70000</v>
      </c>
      <c r="H9" s="8" t="n">
        <v>620</v>
      </c>
      <c r="I9" s="8" t="n">
        <v>1400</v>
      </c>
      <c r="J9" s="13" t="inlineStr">
        <is>
          <t>No</t>
        </is>
      </c>
      <c r="K9" s="14">
        <f>IFERROR(IF(J9="Yes",(F9*0.075*3)+(G9*0.075),(F9*0.075*3)+(G9*0.075)),0)</f>
        <v/>
      </c>
      <c r="L9" s="15">
        <f>IFERROR(MIN(IF(E9="Married",(H9*0.8*52)+(F9*0.075*0.5)+(G9*0.075*0.5),IF(J9="Yes",(H9*0.8*52)+(G9*0.075),(H9*0.8*52)+(F9*0.075)+(G9*0.075))),K9),0)</f>
        <v/>
      </c>
      <c r="M9" s="14">
        <f>IFERROR(L9/52,0)</f>
        <v/>
      </c>
      <c r="N9" s="16">
        <f>IFERROR(L9/(I9*52),0)</f>
        <v/>
      </c>
      <c r="O9" s="12" t="inlineStr">
        <is>
          <t>High income and assets</t>
        </is>
      </c>
    </row>
    <row r="10" ht="18" customHeight="1">
      <c r="A10" s="6" t="inlineStr">
        <is>
          <t>Ciara Nolan</t>
        </is>
      </c>
      <c r="B10" s="7" t="inlineStr">
        <is>
          <t>Sligo</t>
        </is>
      </c>
      <c r="C10" s="7" t="inlineStr">
        <is>
          <t>14/09/1948</t>
        </is>
      </c>
      <c r="D10" s="7">
        <f>INT((DATEVALUE($B$2)-DATEVALUE(C10))/365.25)</f>
        <v/>
      </c>
      <c r="E10" s="7" t="inlineStr">
        <is>
          <t>Single</t>
        </is>
      </c>
      <c r="F10" s="8" t="n">
        <v>175000</v>
      </c>
      <c r="G10" s="8" t="n">
        <v>25000</v>
      </c>
      <c r="H10" s="8" t="n">
        <v>230</v>
      </c>
      <c r="I10" s="8" t="n">
        <v>1050</v>
      </c>
      <c r="J10" s="7" t="inlineStr">
        <is>
          <t>Yes</t>
        </is>
      </c>
      <c r="K10" s="9">
        <f>IFERROR(IF(J10="Yes",(F10*0.075*3)+(G10*0.075),(F10*0.075*3)+(G10*0.075)),0)</f>
        <v/>
      </c>
      <c r="L10" s="10">
        <f>IFERROR(MIN(IF(E10="Married",(H10*0.8*52)+(F10*0.075*0.5)+(G10*0.075*0.5),IF(J10="Yes",(H10*0.8*52)+(G10*0.075),(H10*0.8*52)+(F10*0.075)+(G10*0.075))),K10),0)</f>
        <v/>
      </c>
      <c r="M10" s="9">
        <f>IFERROR(L10/52,0)</f>
        <v/>
      </c>
      <c r="N10" s="11">
        <f>IFERROR(L10/(I10*52),0)</f>
        <v/>
      </c>
      <c r="O10" s="6" t="inlineStr">
        <is>
          <t>Protected asset; modest income</t>
        </is>
      </c>
    </row>
    <row r="11" ht="18" customHeight="1">
      <c r="A11" s="12" t="inlineStr">
        <is>
          <t>Oisín Ryan</t>
        </is>
      </c>
      <c r="B11" s="13" t="inlineStr">
        <is>
          <t>Kilkenny</t>
        </is>
      </c>
      <c r="C11" s="13" t="inlineStr">
        <is>
          <t>03/12/1939</t>
        </is>
      </c>
      <c r="D11" s="13">
        <f>INT((DATEVALUE($B$2)-DATEVALUE(C11))/365.25)</f>
        <v/>
      </c>
      <c r="E11" s="13" t="inlineStr">
        <is>
          <t>Widowed</t>
        </is>
      </c>
      <c r="F11" s="8" t="n">
        <v>260000</v>
      </c>
      <c r="G11" s="8" t="n">
        <v>40000</v>
      </c>
      <c r="H11" s="8" t="n">
        <v>370</v>
      </c>
      <c r="I11" s="8" t="n">
        <v>1180</v>
      </c>
      <c r="J11" s="13" t="inlineStr">
        <is>
          <t>No</t>
        </is>
      </c>
      <c r="K11" s="14">
        <f>IFERROR(IF(J11="Yes",(F11*0.075*3)+(G11*0.075),(F11*0.075*3)+(G11*0.075)),0)</f>
        <v/>
      </c>
      <c r="L11" s="15">
        <f>IFERROR(MIN(IF(E11="Married",(H11*0.8*52)+(F11*0.075*0.5)+(G11*0.075*0.5),IF(J11="Yes",(H11*0.8*52)+(G11*0.075),(H11*0.8*52)+(F11*0.075)+(G11*0.075))),K11),0)</f>
        <v/>
      </c>
      <c r="M11" s="14">
        <f>IFERROR(L11/52,0)</f>
        <v/>
      </c>
      <c r="N11" s="16">
        <f>IFERROR(L11/(I11*52),0)</f>
        <v/>
      </c>
      <c r="O11" s="12" t="inlineStr">
        <is>
          <t>Mid contribution expected</t>
        </is>
      </c>
    </row>
    <row r="12" ht="18" customHeight="1">
      <c r="A12" s="6" t="inlineStr">
        <is>
          <t>Róisín Healy</t>
        </is>
      </c>
      <c r="B12" s="7" t="inlineStr">
        <is>
          <t>Dundalk</t>
        </is>
      </c>
      <c r="C12" s="7" t="inlineStr">
        <is>
          <t>27/08/1943</t>
        </is>
      </c>
      <c r="D12" s="7">
        <f>INT((DATEVALUE($B$2)-DATEVALUE(C12))/365.25)</f>
        <v/>
      </c>
      <c r="E12" s="7" t="inlineStr">
        <is>
          <t>Single</t>
        </is>
      </c>
      <c r="F12" s="8" t="n">
        <v>195000</v>
      </c>
      <c r="G12" s="8" t="n">
        <v>15000</v>
      </c>
      <c r="H12" s="8" t="n">
        <v>300</v>
      </c>
      <c r="I12" s="8" t="n">
        <v>1130</v>
      </c>
      <c r="J12" s="7" t="inlineStr">
        <is>
          <t>No</t>
        </is>
      </c>
      <c r="K12" s="9">
        <f>IFERROR(IF(J12="Yes",(F12*0.075*3)+(G12*0.075),(F12*0.075*3)+(G12*0.075)),0)</f>
        <v/>
      </c>
      <c r="L12" s="10">
        <f>IFERROR(MIN(IF(E12="Married",(H12*0.8*52)+(F12*0.075*0.5)+(G12*0.075*0.5),IF(J12="Yes",(H12*0.8*52)+(G12*0.075),(H12*0.8*52)+(F12*0.075)+(G12*0.075))),K12),0)</f>
        <v/>
      </c>
      <c r="M12" s="9">
        <f>IFERROR(L12/52,0)</f>
        <v/>
      </c>
      <c r="N12" s="11">
        <f>IFERROR(L12/(I12*52),0)</f>
        <v/>
      </c>
      <c r="O12" s="6" t="inlineStr">
        <is>
          <t>Standard contribution calculation</t>
        </is>
      </c>
    </row>
    <row r="13" ht="20" customHeight="1">
      <c r="A13" s="17" t="inlineStr">
        <is>
          <t>TOTALS</t>
        </is>
      </c>
      <c r="B13" s="18" t="n"/>
      <c r="C13" s="18" t="n"/>
      <c r="D13" s="18" t="n"/>
      <c r="E13" s="18" t="n"/>
      <c r="F13" s="18" t="n"/>
      <c r="G13" s="18" t="n"/>
      <c r="H13" s="18" t="n"/>
      <c r="I13" s="18" t="n"/>
      <c r="J13" s="18" t="n"/>
      <c r="K13" s="18" t="n"/>
      <c r="L13" s="19">
        <f>SUM(L4:L12)</f>
        <v/>
      </c>
      <c r="M13" s="19">
        <f>SUM(M4:M12)</f>
        <v/>
      </c>
      <c r="N13" s="18" t="n"/>
      <c r="O13" s="18" t="n"/>
    </row>
    <row r="14" ht="18" customHeight="1">
      <c r="A14" s="20" t="inlineStr">
        <is>
          <t>AVERAGE / COUNT</t>
        </is>
      </c>
      <c r="B14" s="21" t="n"/>
      <c r="C14" s="21" t="n"/>
      <c r="D14" s="21" t="n"/>
      <c r="E14" s="21" t="n"/>
      <c r="F14" s="21" t="n"/>
      <c r="G14" s="21" t="n"/>
      <c r="H14" s="21" t="n"/>
      <c r="I14" s="21" t="n"/>
      <c r="J14" s="21" t="n"/>
      <c r="K14" s="21" t="n"/>
      <c r="L14" s="22">
        <f>AVERAGE(L4:L12)</f>
        <v/>
      </c>
      <c r="M14" s="22">
        <f>AVERAGE(M4:M12)</f>
        <v/>
      </c>
      <c r="N14" s="21">
        <f>COUNTIF(L4:L12,"&gt;"&amp;$E$2)</f>
        <v/>
      </c>
      <c r="O14" s="21" t="n"/>
    </row>
    <row r="15">
      <c r="M15" s="23" t="inlineStr">
        <is>
          <t>↑ Count above threshold</t>
        </is>
      </c>
    </row>
  </sheetData>
  <mergeCells count="1">
    <mergeCell ref="A1:O1"/>
  </mergeCells>
  <conditionalFormatting sqref="L4:L12">
    <cfRule type="expression" priority="1" dxfId="0" stopIfTrue="0">
      <formula>L4&gt;$E$2</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35" customWidth="1" min="1" max="1"/>
    <col width="18" customWidth="1" min="2" max="2"/>
    <col width="18" customWidth="1" min="3" max="3"/>
    <col width="60" customWidth="1" min="4" max="4"/>
  </cols>
  <sheetData>
    <row r="1" ht="28" customHeight="1">
      <c r="A1" s="1" t="inlineStr">
        <is>
          <t>Fair Deal Scheme – Rules &amp; Parameters Reference (NHSS)</t>
        </is>
      </c>
    </row>
    <row r="2" ht="20" customHeight="1">
      <c r="A2" s="24" t="inlineStr">
        <is>
          <t>Rule / Parameter</t>
        </is>
      </c>
      <c r="B2" s="24" t="inlineStr">
        <is>
          <t>Value</t>
        </is>
      </c>
      <c r="C2" s="24" t="inlineStr">
        <is>
          <t>Unit</t>
        </is>
      </c>
      <c r="D2" s="24" t="inlineStr">
        <is>
          <t>Description</t>
        </is>
      </c>
    </row>
    <row r="3" ht="22" customHeight="1">
      <c r="A3" s="12" t="inlineStr">
        <is>
          <t>Income Contribution Rate</t>
        </is>
      </c>
      <c r="B3" s="25" t="n">
        <v>0.8</v>
      </c>
      <c r="C3" s="13" t="inlineStr">
        <is>
          <t>%</t>
        </is>
      </c>
      <c r="D3" s="12" t="inlineStr">
        <is>
          <t>80% of assessable income is contributed per annum under NHSS 2026</t>
        </is>
      </c>
    </row>
    <row r="4" ht="22" customHeight="1">
      <c r="A4" s="6" t="inlineStr">
        <is>
          <t>Asset Contribution Rate</t>
        </is>
      </c>
      <c r="B4" s="26" t="n">
        <v>0.075</v>
      </c>
      <c r="C4" s="7" t="inlineStr">
        <is>
          <t>%</t>
        </is>
      </c>
      <c r="D4" s="6" t="inlineStr">
        <is>
          <t>7.5% of assessable assets per year applied to non-property assets</t>
        </is>
      </c>
    </row>
    <row r="5" ht="22" customHeight="1">
      <c r="A5" s="12" t="inlineStr">
        <is>
          <t>Property Contribution Rate</t>
        </is>
      </c>
      <c r="B5" s="25" t="n">
        <v>0.075</v>
      </c>
      <c r="C5" s="13" t="inlineStr">
        <is>
          <t>%</t>
        </is>
      </c>
      <c r="D5" s="12" t="inlineStr">
        <is>
          <t>7.5% per year on principal private residence value</t>
        </is>
      </c>
    </row>
    <row r="6" ht="22" customHeight="1">
      <c r="A6" s="6" t="inlineStr">
        <is>
          <t>Property Contribution Cap (yrs)</t>
        </is>
      </c>
      <c r="B6" s="26" t="n">
        <v>3</v>
      </c>
      <c r="C6" s="7" t="inlineStr">
        <is>
          <t>Years</t>
        </is>
      </c>
      <c r="D6" s="6" t="inlineStr">
        <is>
          <t>Max 3 years' worth of property-based contributions for PPR (22.5% total)</t>
        </is>
      </c>
    </row>
    <row r="7" ht="22" customHeight="1">
      <c r="A7" s="12" t="inlineStr">
        <is>
          <t>Married – Asset Reduction Factor</t>
        </is>
      </c>
      <c r="B7" s="25" t="n">
        <v>0.5</v>
      </c>
      <c r="C7" s="13" t="inlineStr">
        <is>
          <t>Multiplier</t>
        </is>
      </c>
      <c r="D7" s="12" t="inlineStr">
        <is>
          <t>Assets halved for married/civil partnership applicants</t>
        </is>
      </c>
    </row>
    <row r="8" ht="22" customHeight="1">
      <c r="A8" s="6" t="inlineStr">
        <is>
          <t>Single Applicant Factor</t>
        </is>
      </c>
      <c r="B8" s="26" t="n">
        <v>1</v>
      </c>
      <c r="C8" s="7" t="inlineStr">
        <is>
          <t>Multiplier</t>
        </is>
      </c>
      <c r="D8" s="6" t="inlineStr">
        <is>
          <t>Full asset value assessed for single/widowed applicants</t>
        </is>
      </c>
    </row>
    <row r="9" ht="22" customHeight="1">
      <c r="A9" s="12" t="inlineStr">
        <is>
          <t>Weekly Cost Conversion Factor</t>
        </is>
      </c>
      <c r="B9" s="25" t="n">
        <v>52</v>
      </c>
      <c r="C9" s="13" t="inlineStr">
        <is>
          <t>Weeks/yr</t>
        </is>
      </c>
      <c r="D9" s="12" t="inlineStr">
        <is>
          <t>Annual figures divided by 52 to obtain weekly equivalent</t>
        </is>
      </c>
    </row>
    <row r="10" ht="22" customHeight="1">
      <c r="A10" s="6" t="inlineStr">
        <is>
          <t>HSE Administration Body</t>
        </is>
      </c>
      <c r="B10" s="26" t="inlineStr">
        <is>
          <t>HSE</t>
        </is>
      </c>
      <c r="C10" s="7" t="inlineStr">
        <is>
          <t>—</t>
        </is>
      </c>
      <c r="D10" s="6" t="inlineStr">
        <is>
          <t>Health Service Executive administers NHSS on behalf of the State</t>
        </is>
      </c>
    </row>
    <row r="11" ht="22" customHeight="1">
      <c r="A11" s="12" t="inlineStr">
        <is>
          <t>Income Disregard (approx.)</t>
        </is>
      </c>
      <c r="B11" s="25" t="n">
        <v>0</v>
      </c>
      <c r="C11" s="13" t="inlineStr">
        <is>
          <t>€</t>
        </is>
      </c>
      <c r="D11" s="12" t="inlineStr">
        <is>
          <t>All income above disregard threshold is assessable; check current HSE guidance</t>
        </is>
      </c>
    </row>
    <row r="12" ht="22" customHeight="1">
      <c r="A12" s="6" t="inlineStr">
        <is>
          <t>Scheme Reference</t>
        </is>
      </c>
      <c r="B12" s="26" t="inlineStr">
        <is>
          <t>NHSS</t>
        </is>
      </c>
      <c r="C12" s="7" t="inlineStr">
        <is>
          <t>—</t>
        </is>
      </c>
      <c r="D12" s="6" t="inlineStr">
        <is>
          <t>Nursing Homes Support Scheme Act 2009 as amended; always verify current rates with HSE</t>
        </is>
      </c>
    </row>
    <row r="13"/>
    <row r="14"/>
    <row r="15">
      <c r="A15" s="2" t="inlineStr">
        <is>
          <t>VLOOKUP Demo – Income Rate Lookup:</t>
        </is>
      </c>
      <c r="B15" s="27">
        <f>IFERROR(VLOOKUP("Income Contribution Rate",A3:B12,2,FALSE),"")</f>
        <v/>
      </c>
    </row>
    <row r="16">
      <c r="A16" s="2" t="inlineStr">
        <is>
          <t>VLOOKUP Demo – Married Factor:</t>
        </is>
      </c>
      <c r="B16" s="28">
        <f>IFERROR(VLOOKUP("Married – Asset Reduction Factor",A3:B12,2,FALSE),"")</f>
        <v/>
      </c>
    </row>
    <row r="17"/>
    <row r="18">
      <c r="A18" s="29" t="inlineStr">
        <is>
          <t>⚠  Note: These figures are illustrative estimates only. Always verify current rates and thresholds directly with the HSE or a qualified financial adviser.</t>
        </is>
      </c>
    </row>
  </sheetData>
  <mergeCells count="2">
    <mergeCell ref="A1:D1"/>
    <mergeCell ref="A18:D1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21"/>
  <sheetViews>
    <sheetView workbookViewId="0">
      <selection activeCell="A1" sqref="A1"/>
    </sheetView>
  </sheetViews>
  <sheetFormatPr baseColWidth="8" defaultRowHeight="15"/>
  <cols>
    <col width="42" customWidth="1" min="1" max="1"/>
    <col width="28" customWidth="1" min="2" max="2"/>
    <col width="14" customWidth="1" min="3" max="3"/>
    <col width="14" customWidth="1" min="5" max="5"/>
    <col width="10" customWidth="1" min="6" max="6"/>
  </cols>
  <sheetData>
    <row r="1" ht="28" customHeight="1">
      <c r="A1" s="1" t="inlineStr">
        <is>
          <t>Fair Deal Scheme – Summary Dashboard</t>
        </is>
      </c>
    </row>
    <row r="2">
      <c r="A2" s="18" t="inlineStr">
        <is>
          <t>Metric</t>
        </is>
      </c>
      <c r="B2" s="18" t="inlineStr">
        <is>
          <t>Value</t>
        </is>
      </c>
    </row>
    <row r="3" ht="18" customHeight="1">
      <c r="A3" s="12" t="inlineStr">
        <is>
          <t>Total Applicants</t>
        </is>
      </c>
      <c r="B3" s="30">
        <f>COUNTA('Fair Deal Estimate'!A4:A12)</f>
        <v/>
      </c>
    </row>
    <row r="4" ht="18" customHeight="1">
      <c r="A4" s="6" t="inlineStr">
        <is>
          <t>Average Estimated Annual Contribution</t>
        </is>
      </c>
      <c r="B4" s="10">
        <f>IFERROR(AVERAGE('Fair Deal Estimate'!L4:L12),0)</f>
        <v/>
      </c>
    </row>
    <row r="5" ht="18" customHeight="1">
      <c r="A5" s="12" t="inlineStr">
        <is>
          <t>Highest Estimated Annual Contribution</t>
        </is>
      </c>
      <c r="B5" s="15">
        <f>IFERROR(MAX('Fair Deal Estimate'!L4:L12),0)</f>
        <v/>
      </c>
    </row>
    <row r="6" ht="18" customHeight="1">
      <c r="A6" s="6" t="inlineStr">
        <is>
          <t>Lowest Estimated Annual Contribution</t>
        </is>
      </c>
      <c r="B6" s="10">
        <f>IFERROR(MIN('Fair Deal Estimate'!L4:L12),0)</f>
        <v/>
      </c>
    </row>
    <row r="7" ht="18" customHeight="1">
      <c r="A7" s="12" t="inlineStr">
        <is>
          <t>Count of Applicants Above €15,000</t>
        </is>
      </c>
      <c r="B7" s="30">
        <f>IFERROR(COUNTIF('Fair Deal Estimate'!L4:L12,"&gt;15000"),0)</f>
        <v/>
      </c>
    </row>
    <row r="8" ht="18" customHeight="1">
      <c r="A8" s="6" t="inlineStr">
        <is>
          <t>Average Contribution as % of Care Cost</t>
        </is>
      </c>
      <c r="B8" s="31">
        <f>IFERROR(AVERAGE('Fair Deal Estimate'!N4:N12),0)</f>
        <v/>
      </c>
    </row>
    <row r="9" ht="18" customHeight="1">
      <c r="A9" s="12" t="inlineStr">
        <is>
          <t>Total Est. Annual Contributions</t>
        </is>
      </c>
      <c r="B9" s="15">
        <f>IFERROR(SUM('Fair Deal Estimate'!L4:L12),0)</f>
        <v/>
      </c>
    </row>
    <row r="10"/>
    <row r="11"/>
    <row r="12">
      <c r="A12" s="32" t="inlineStr">
        <is>
          <t>Applicant</t>
        </is>
      </c>
      <c r="B12" s="32" t="inlineStr">
        <is>
          <t>Est. Annual Contribution (€)</t>
        </is>
      </c>
      <c r="C12" s="32" t="inlineStr">
        <is>
          <t>County</t>
        </is>
      </c>
      <c r="E12" s="32" t="inlineStr">
        <is>
          <t>County</t>
        </is>
      </c>
      <c r="F12" s="32" t="inlineStr">
        <is>
          <t>Count</t>
        </is>
      </c>
    </row>
    <row r="13">
      <c r="A13" s="12" t="inlineStr">
        <is>
          <t>Aoife Byrne</t>
        </is>
      </c>
      <c r="B13" s="14">
        <f>'Fair Deal Estimate'!L4</f>
        <v/>
      </c>
      <c r="C13" s="13" t="inlineStr">
        <is>
          <t>Dublin</t>
        </is>
      </c>
      <c r="E13" s="12" t="inlineStr">
        <is>
          <t>Dublin</t>
        </is>
      </c>
      <c r="F13" s="13">
        <f>COUNTIF(C13:C21,"Dublin")</f>
        <v/>
      </c>
    </row>
    <row r="14">
      <c r="A14" s="6" t="inlineStr">
        <is>
          <t>Seán Murphy</t>
        </is>
      </c>
      <c r="B14" s="9">
        <f>'Fair Deal Estimate'!L5</f>
        <v/>
      </c>
      <c r="C14" s="7" t="inlineStr">
        <is>
          <t>Cork</t>
        </is>
      </c>
      <c r="E14" s="6" t="inlineStr">
        <is>
          <t>Cork</t>
        </is>
      </c>
      <c r="F14" s="7">
        <f>COUNTIF(C13:C21,"Cork")</f>
        <v/>
      </c>
    </row>
    <row r="15">
      <c r="A15" s="12" t="inlineStr">
        <is>
          <t>Niamh Walsh</t>
        </is>
      </c>
      <c r="B15" s="14">
        <f>'Fair Deal Estimate'!L6</f>
        <v/>
      </c>
      <c r="C15" s="13" t="inlineStr">
        <is>
          <t>Galway</t>
        </is>
      </c>
      <c r="E15" s="12" t="inlineStr">
        <is>
          <t>Galway</t>
        </is>
      </c>
      <c r="F15" s="13">
        <f>COUNTIF(C13:C21,"Galway")</f>
        <v/>
      </c>
    </row>
    <row r="16">
      <c r="A16" s="6" t="inlineStr">
        <is>
          <t>Cian O'Connor</t>
        </is>
      </c>
      <c r="B16" s="9">
        <f>'Fair Deal Estimate'!L7</f>
        <v/>
      </c>
      <c r="C16" s="7" t="inlineStr">
        <is>
          <t>Limerick</t>
        </is>
      </c>
      <c r="E16" s="6" t="inlineStr">
        <is>
          <t>Limerick</t>
        </is>
      </c>
      <c r="F16" s="7">
        <f>COUNTIF(C13:C21,"Limerick")</f>
        <v/>
      </c>
    </row>
    <row r="17">
      <c r="A17" s="12" t="inlineStr">
        <is>
          <t>Saoirse Kelly</t>
        </is>
      </c>
      <c r="B17" s="14">
        <f>'Fair Deal Estimate'!L8</f>
        <v/>
      </c>
      <c r="C17" s="13" t="inlineStr">
        <is>
          <t>Waterford</t>
        </is>
      </c>
      <c r="E17" s="12" t="inlineStr">
        <is>
          <t>Waterford</t>
        </is>
      </c>
      <c r="F17" s="13">
        <f>COUNTIF(C13:C21,"Waterford")</f>
        <v/>
      </c>
    </row>
    <row r="18">
      <c r="A18" s="6" t="inlineStr">
        <is>
          <t>Conor Byrne</t>
        </is>
      </c>
      <c r="B18" s="9">
        <f>'Fair Deal Estimate'!L9</f>
        <v/>
      </c>
      <c r="C18" s="7" t="inlineStr">
        <is>
          <t>Wexford</t>
        </is>
      </c>
      <c r="E18" s="6" t="inlineStr">
        <is>
          <t>Wexford</t>
        </is>
      </c>
      <c r="F18" s="7">
        <f>COUNTIF(C13:C21,"Wexford")</f>
        <v/>
      </c>
    </row>
    <row r="19">
      <c r="A19" s="12" t="inlineStr">
        <is>
          <t>Ciara Nolan</t>
        </is>
      </c>
      <c r="B19" s="14">
        <f>'Fair Deal Estimate'!L10</f>
        <v/>
      </c>
      <c r="C19" s="13" t="inlineStr">
        <is>
          <t>Sligo</t>
        </is>
      </c>
      <c r="E19" s="12" t="inlineStr">
        <is>
          <t>Sligo</t>
        </is>
      </c>
      <c r="F19" s="13">
        <f>COUNTIF(C13:C21,"Sligo")</f>
        <v/>
      </c>
    </row>
    <row r="20">
      <c r="A20" s="6" t="inlineStr">
        <is>
          <t>Oisín Ryan</t>
        </is>
      </c>
      <c r="B20" s="9">
        <f>'Fair Deal Estimate'!L11</f>
        <v/>
      </c>
      <c r="C20" s="7" t="inlineStr">
        <is>
          <t>Kilkenny</t>
        </is>
      </c>
      <c r="E20" s="6" t="inlineStr">
        <is>
          <t>Kilkenny</t>
        </is>
      </c>
      <c r="F20" s="7">
        <f>COUNTIF(C13:C21,"Kilkenny")</f>
        <v/>
      </c>
    </row>
    <row r="21">
      <c r="A21" s="12" t="inlineStr">
        <is>
          <t>Róisín Healy</t>
        </is>
      </c>
      <c r="B21" s="14">
        <f>'Fair Deal Estimate'!L12</f>
        <v/>
      </c>
      <c r="C21" s="13" t="inlineStr">
        <is>
          <t>Dundalk</t>
        </is>
      </c>
      <c r="E21" s="12" t="inlineStr">
        <is>
          <t>Dundalk</t>
        </is>
      </c>
      <c r="F21" s="13">
        <f>COUNTIF(C13:C21,"Dundalk")</f>
        <v/>
      </c>
    </row>
  </sheetData>
  <mergeCells count="1">
    <mergeCell ref="A1:H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25" customWidth="1" min="1" max="1"/>
    <col width="28" customWidth="1" min="2" max="2"/>
    <col width="75" customWidth="1" min="3" max="3"/>
  </cols>
  <sheetData>
    <row r="1" ht="28" customHeight="1">
      <c r="A1" s="1" t="inlineStr">
        <is>
          <t>Fair Deal Scheme Template – Instructions &amp; Guidance</t>
        </is>
      </c>
    </row>
    <row r="2" ht="20" customHeight="1">
      <c r="A2" s="24" t="inlineStr">
        <is>
          <t>Section</t>
        </is>
      </c>
      <c r="B2" s="24" t="inlineStr">
        <is>
          <t>Column / Field</t>
        </is>
      </c>
      <c r="C2" s="24" t="inlineStr">
        <is>
          <t>Guidance</t>
        </is>
      </c>
    </row>
    <row r="3" ht="22" customHeight="1">
      <c r="A3" s="12" t="inlineStr">
        <is>
          <t>Fair Deal Estimate</t>
        </is>
      </c>
      <c r="B3" s="12" t="inlineStr">
        <is>
          <t>Applicant Name</t>
        </is>
      </c>
      <c r="C3" s="12" t="inlineStr">
        <is>
          <t>Enter the full legal name of the nursing home applicant.</t>
        </is>
      </c>
    </row>
    <row r="4" ht="22" customHeight="1">
      <c r="A4" s="6" t="inlineStr">
        <is>
          <t>Fair Deal Estimate</t>
        </is>
      </c>
      <c r="B4" s="6" t="inlineStr">
        <is>
          <t>County</t>
        </is>
      </c>
      <c r="C4" s="6" t="inlineStr">
        <is>
          <t>Select the county of residence for the applicant (e.g. Dublin, Cork).</t>
        </is>
      </c>
    </row>
    <row r="5" ht="22" customHeight="1">
      <c r="A5" s="12" t="inlineStr">
        <is>
          <t>Fair Deal Estimate</t>
        </is>
      </c>
      <c r="B5" s="12" t="inlineStr">
        <is>
          <t>Date of Birth</t>
        </is>
      </c>
      <c r="C5" s="12" t="inlineStr">
        <is>
          <t>Enter date in DD/MM/YYYY format. Age is calculated automatically.</t>
        </is>
      </c>
    </row>
    <row r="6" ht="22" customHeight="1">
      <c r="A6" s="6" t="inlineStr">
        <is>
          <t>Fair Deal Estimate</t>
        </is>
      </c>
      <c r="B6" s="6" t="inlineStr">
        <is>
          <t>Age at Application</t>
        </is>
      </c>
      <c r="C6" s="6" t="inlineStr">
        <is>
          <t>Automatically calculated from Date of Birth and the Application Date in cell B2.</t>
        </is>
      </c>
    </row>
    <row r="7" ht="22" customHeight="1">
      <c r="A7" s="12" t="inlineStr">
        <is>
          <t>Fair Deal Estimate</t>
        </is>
      </c>
      <c r="B7" s="12" t="inlineStr">
        <is>
          <t>Marital Status</t>
        </is>
      </c>
      <c r="C7" s="12" t="inlineStr">
        <is>
          <t>Enter Single, Married, Widowed, or Separated. Married applicants receive a 50% asset reduction.</t>
        </is>
      </c>
    </row>
    <row r="8" ht="22" customHeight="1">
      <c r="A8" s="6" t="inlineStr">
        <is>
          <t>Fair Deal Estimate</t>
        </is>
      </c>
      <c r="B8" s="6" t="inlineStr">
        <is>
          <t>Property Value (€)</t>
        </is>
      </c>
      <c r="C8" s="6" t="inlineStr">
        <is>
          <t>Enter current market value of the principal private residence. Highlighted in yellow – input cell.</t>
        </is>
      </c>
    </row>
    <row r="9" ht="22" customHeight="1">
      <c r="A9" s="12" t="inlineStr">
        <is>
          <t>Fair Deal Estimate</t>
        </is>
      </c>
      <c r="B9" s="12" t="inlineStr">
        <is>
          <t>Other Assets (€)</t>
        </is>
      </c>
      <c r="C9" s="12" t="inlineStr">
        <is>
          <t>Enter total value of savings, investments, and other assets. Highlighted in yellow – input cell.</t>
        </is>
      </c>
    </row>
    <row r="10" ht="22" customHeight="1">
      <c r="A10" s="6" t="inlineStr">
        <is>
          <t>Fair Deal Estimate</t>
        </is>
      </c>
      <c r="B10" s="6" t="inlineStr">
        <is>
          <t>Weekly Income (€)</t>
        </is>
      </c>
      <c r="C10" s="6" t="inlineStr">
        <is>
          <t>Enter total weekly income (State Pension, occupational pension, other income).</t>
        </is>
      </c>
    </row>
    <row r="11" ht="22" customHeight="1">
      <c r="A11" s="12" t="inlineStr">
        <is>
          <t>Fair Deal Estimate</t>
        </is>
      </c>
      <c r="B11" s="12" t="inlineStr">
        <is>
          <t>Weekly Care Cost (€)</t>
        </is>
      </c>
      <c r="C11" s="12" t="inlineStr">
        <is>
          <t>Enter the agreed weekly nursing home cost. Used to calculate contribution as % of care cost.</t>
        </is>
      </c>
    </row>
    <row r="12" ht="22" customHeight="1">
      <c r="A12" s="6" t="inlineStr">
        <is>
          <t>Fair Deal Estimate</t>
        </is>
      </c>
      <c r="B12" s="6" t="inlineStr">
        <is>
          <t>Protected Asset?</t>
        </is>
      </c>
      <c r="C12" s="6" t="inlineStr">
        <is>
          <t>Enter Yes if the applicant qualifies for the protected asset rule; No otherwise.</t>
        </is>
      </c>
    </row>
    <row r="13" ht="22" customHeight="1">
      <c r="A13" s="12" t="inlineStr">
        <is>
          <t>Fair Deal Estimate</t>
        </is>
      </c>
      <c r="B13" s="12" t="inlineStr">
        <is>
          <t>Est. Annual Contribution</t>
        </is>
      </c>
      <c r="C13" s="12" t="inlineStr">
        <is>
          <t>Automatically calculated: 80% of annual income + 7.5% of assets, capped by the Max Annual Contribution Cap.</t>
        </is>
      </c>
    </row>
    <row r="14" ht="22" customHeight="1">
      <c r="A14" s="6" t="inlineStr">
        <is>
          <t>Fair Deal Estimate</t>
        </is>
      </c>
      <c r="B14" s="6" t="inlineStr">
        <is>
          <t>Est. Weekly Contribution</t>
        </is>
      </c>
      <c r="C14" s="6" t="inlineStr">
        <is>
          <t>Annual contribution divided by 52. For weekly budgeting purposes.</t>
        </is>
      </c>
    </row>
    <row r="15" ht="22" customHeight="1">
      <c r="A15" s="12" t="inlineStr">
        <is>
          <t>Fair Deal Estimate</t>
        </is>
      </c>
      <c r="B15" s="12" t="inlineStr">
        <is>
          <t>Contrib as % of Care Cost</t>
        </is>
      </c>
      <c r="C15" s="12" t="inlineStr">
        <is>
          <t>Shows what proportion of the nursing home cost the applicant contributes.</t>
        </is>
      </c>
    </row>
    <row r="16" ht="22" customHeight="1">
      <c r="A16" s="6" t="inlineStr">
        <is>
          <t>Scheme Rules</t>
        </is>
      </c>
      <c r="B16" s="6" t="inlineStr">
        <is>
          <t>Rule / Parameter</t>
        </is>
      </c>
      <c r="C16" s="6" t="inlineStr">
        <is>
          <t>Each row defines one scheme rule or parameter used in calculations.</t>
        </is>
      </c>
    </row>
    <row r="17" ht="22" customHeight="1">
      <c r="A17" s="12" t="inlineStr">
        <is>
          <t>Scheme Rules</t>
        </is>
      </c>
      <c r="B17" s="12" t="inlineStr">
        <is>
          <t>Value</t>
        </is>
      </c>
      <c r="C17" s="12" t="inlineStr">
        <is>
          <t>The numerical value of the rule. Used by VLOOKUP in demonstration formulas.</t>
        </is>
      </c>
    </row>
    <row r="18" ht="22" customHeight="1">
      <c r="A18" s="6" t="inlineStr">
        <is>
          <t>Scheme Rules</t>
        </is>
      </c>
      <c r="B18" s="6" t="inlineStr">
        <is>
          <t>Description</t>
        </is>
      </c>
      <c r="C18" s="6" t="inlineStr">
        <is>
          <t>Plain-English explanation of each rule. Always verify with the HSE before advising clients.</t>
        </is>
      </c>
    </row>
    <row r="19" ht="22" customHeight="1">
      <c r="A19" s="12" t="inlineStr">
        <is>
          <t>Summary Dashboard</t>
        </is>
      </c>
      <c r="B19" s="12" t="inlineStr">
        <is>
          <t>Key Metrics</t>
        </is>
      </c>
      <c r="C19" s="12" t="inlineStr">
        <is>
          <t>Auto-calculated summaries: total applicants, average, highest and lowest contribution, count above €15,000 threshold.</t>
        </is>
      </c>
    </row>
    <row r="20" ht="22" customHeight="1">
      <c r="A20" s="6" t="inlineStr">
        <is>
          <t>Summary Dashboard</t>
        </is>
      </c>
      <c r="B20" s="6" t="inlineStr">
        <is>
          <t>Bar Chart</t>
        </is>
      </c>
      <c r="C20" s="6" t="inlineStr">
        <is>
          <t>Visualises each applicant's estimated annual contribution. Updates automatically when data changes.</t>
        </is>
      </c>
    </row>
    <row r="21" ht="22" customHeight="1">
      <c r="A21" s="12" t="inlineStr">
        <is>
          <t>Summary Dashboard</t>
        </is>
      </c>
      <c r="B21" s="12" t="inlineStr">
        <is>
          <t>Pie Chart</t>
        </is>
      </c>
      <c r="C21" s="12" t="inlineStr">
        <is>
          <t>Shows the geographical spread of applicants by county.</t>
        </is>
      </c>
    </row>
    <row r="22" ht="22" customHeight="1">
      <c r="A22" s="6" t="inlineStr">
        <is>
          <t>General</t>
        </is>
      </c>
      <c r="B22" s="6" t="inlineStr">
        <is>
          <t>Currency Format</t>
        </is>
      </c>
      <c r="C22" s="6" t="inlineStr">
        <is>
          <t>All monetary values are formatted as €1,234.56 (Euro, Irish standard).</t>
        </is>
      </c>
    </row>
    <row r="23" ht="22" customHeight="1">
      <c r="A23" s="12" t="inlineStr">
        <is>
          <t>General</t>
        </is>
      </c>
      <c r="B23" s="12" t="inlineStr">
        <is>
          <t>Date Format</t>
        </is>
      </c>
      <c r="C23" s="12" t="inlineStr">
        <is>
          <t>All dates use DD/MM/YYYY (Irish standard).</t>
        </is>
      </c>
    </row>
    <row r="24" ht="22" customHeight="1">
      <c r="A24" s="6" t="inlineStr">
        <is>
          <t>General</t>
        </is>
      </c>
      <c r="B24" s="6" t="inlineStr">
        <is>
          <t>Disclaimer</t>
        </is>
      </c>
      <c r="C24" s="6" t="inlineStr">
        <is>
          <t>This template is for estimation purposes only. Contribution amounts are subject to formal assessment by the HSE. Always seek independent financial or legal advice.</t>
        </is>
      </c>
    </row>
    <row r="25"/>
    <row r="26"/>
    <row r="27" ht="50" customHeight="1">
      <c r="A27" s="33" t="inlineStr">
        <is>
          <t>⚠  IMPORTANT DISCLAIMER: This workbook is an educational and planning aid only. The figures produced are estimates based on standard NHSS rates and do not constitute formal financial, legal, or medical advice. Verify all rates and thresholds with the HSE or a qualified adviser before making decisions.</t>
        </is>
      </c>
    </row>
  </sheetData>
  <mergeCells count="2">
    <mergeCell ref="A1:C1"/>
    <mergeCell ref="A27:C27"/>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2026-06-19T01:49:51Z</dcterms:created>
  <dcterms:modified xmlns:dcterms="http://purl.org/dc/terms/" xmlns:xsi="http://www.w3.org/2001/XMLSchema-instance" xsi:type="dcterms:W3CDTF">2026-06-19T01:49:51Z</dcterms:modified>
</cp:coreProperties>
</file>