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IK Inputs" sheetId="1" state="visible" r:id="rId1"/>
    <sheet xmlns:r="http://schemas.openxmlformats.org/officeDocument/2006/relationships" name="BIK Summary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€&quot;#,##0.00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</font>
    <font>
      <name val="Calibri"/>
      <b val="1"/>
      <sz val="11"/>
    </font>
    <font>
      <name val="Calibri"/>
      <b val="1"/>
      <color rgb="0016A34A"/>
    </font>
    <font>
      <name val="Calibri"/>
      <b val="1"/>
      <color rgb="001E293B"/>
      <sz val="11"/>
    </font>
    <font>
      <name val="Calibri"/>
      <b val="1"/>
      <color rgb="00FFFFFF"/>
      <sz val="14"/>
    </font>
    <font>
      <name val="Calibri"/>
      <b val="1"/>
      <color rgb="000F766E"/>
      <sz val="14"/>
    </font>
    <font>
      <name val="Calibri"/>
      <b val="1"/>
      <color rgb="001E293B"/>
      <sz val="12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1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left" vertical="center"/>
    </xf>
    <xf numFmtId="164" fontId="2" fillId="5" borderId="1" applyAlignment="1" pivotButton="0" quotePrefix="0" xfId="0">
      <alignment horizontal="left" vertical="center"/>
    </xf>
    <xf numFmtId="3" fontId="2" fillId="5" borderId="1" applyAlignment="1" pivotButton="0" quotePrefix="0" xfId="0">
      <alignment horizontal="left" vertical="center"/>
    </xf>
    <xf numFmtId="0" fontId="2" fillId="5" borderId="1" applyAlignment="1" pivotButton="0" quotePrefix="0" xfId="0">
      <alignment horizontal="left" vertical="center"/>
    </xf>
    <xf numFmtId="10" fontId="2" fillId="4" borderId="1" applyAlignment="1" pivotButton="0" quotePrefix="0" xfId="0">
      <alignment horizontal="left" vertical="center"/>
    </xf>
    <xf numFmtId="164" fontId="2" fillId="4" borderId="1" applyAlignment="1" pivotButton="0" quotePrefix="0" xfId="0">
      <alignment horizontal="left" vertical="center"/>
    </xf>
    <xf numFmtId="10" fontId="2" fillId="5" borderId="1" applyAlignment="1" pivotButton="0" quotePrefix="0" xfId="0">
      <alignment horizontal="left" vertical="center"/>
    </xf>
    <xf numFmtId="0" fontId="2" fillId="6" borderId="1" applyAlignment="1" pivotButton="0" quotePrefix="0" xfId="0">
      <alignment horizontal="left" vertical="center"/>
    </xf>
    <xf numFmtId="10" fontId="2" fillId="6" borderId="1" applyAlignment="1" pivotButton="0" quotePrefix="0" xfId="0">
      <alignment horizontal="left" vertical="center"/>
    </xf>
    <xf numFmtId="164" fontId="2" fillId="6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center" vertical="center"/>
    </xf>
    <xf numFmtId="10" fontId="3" fillId="3" borderId="1" applyAlignment="1" pivotButton="0" quotePrefix="0" xfId="0">
      <alignment horizontal="center" vertical="center"/>
    </xf>
    <xf numFmtId="0" fontId="4" fillId="4" borderId="1" pivotButton="0" quotePrefix="0" xfId="0"/>
    <xf numFmtId="0" fontId="5" fillId="4" borderId="1" pivotButton="0" quotePrefix="0" xfId="0"/>
    <xf numFmtId="0" fontId="6" fillId="0" borderId="0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  <xf numFmtId="10" fontId="0" fillId="0" borderId="1" applyAlignment="1" pivotButton="0" quotePrefix="0" xfId="0">
      <alignment horizontal="center" vertical="center"/>
    </xf>
    <xf numFmtId="0" fontId="7" fillId="3" borderId="0" applyAlignment="1" pivotButton="0" quotePrefix="0" xfId="0">
      <alignment horizontal="center" vertical="center"/>
    </xf>
    <xf numFmtId="0" fontId="4" fillId="6" borderId="1" applyAlignment="1" pivotButton="0" quotePrefix="0" xfId="0">
      <alignment horizontal="left" vertical="center"/>
    </xf>
    <xf numFmtId="0" fontId="8" fillId="6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/>
    </xf>
    <xf numFmtId="164" fontId="8" fillId="4" borderId="1" applyAlignment="1" pivotButton="0" quotePrefix="0" xfId="0">
      <alignment horizontal="center" vertical="center"/>
    </xf>
    <xf numFmtId="164" fontId="8" fillId="6" borderId="1" applyAlignment="1" pivotButton="0" quotePrefix="0" xfId="0">
      <alignment horizontal="center" vertical="center"/>
    </xf>
    <xf numFmtId="10" fontId="8" fillId="4" borderId="1" applyAlignment="1" pivotButton="0" quotePrefix="0" xfId="0">
      <alignment horizontal="center" vertical="center"/>
    </xf>
    <xf numFmtId="0" fontId="8" fillId="4" borderId="1" applyAlignment="1" pivotButton="0" quotePrefix="0" xfId="0">
      <alignment horizontal="center" vertical="center"/>
    </xf>
    <xf numFmtId="0" fontId="9" fillId="0" borderId="0" applyAlignment="1" pivotButton="0" quotePrefix="0" xfId="0">
      <alignment horizontal="left" vertical="center"/>
    </xf>
    <xf numFmtId="0" fontId="2" fillId="4" borderId="1" applyAlignment="1" pivotButton="0" quotePrefix="0" xfId="0">
      <alignment horizontal="center" vertical="center"/>
    </xf>
    <xf numFmtId="0" fontId="2" fillId="6" borderId="1" pivotButton="0" quotePrefix="0" xfId="0"/>
    <xf numFmtId="164" fontId="2" fillId="6" borderId="1" pivotButton="0" quotePrefix="0" xfId="0"/>
    <xf numFmtId="0" fontId="2" fillId="6" borderId="1" applyAlignment="1" pivotButton="0" quotePrefix="0" xfId="0">
      <alignment horizontal="center" vertical="center"/>
    </xf>
    <xf numFmtId="0" fontId="2" fillId="4" borderId="1" pivotButton="0" quotePrefix="0" xfId="0"/>
    <xf numFmtId="164" fontId="2" fillId="4" borderId="1" pivotButton="0" quotePrefix="0" xfId="0"/>
    <xf numFmtId="0" fontId="1" fillId="2" borderId="1" applyAlignment="1" pivotButton="0" quotePrefix="0" xfId="0">
      <alignment horizontal="center" vertical="top" wrapText="1"/>
    </xf>
    <xf numFmtId="0" fontId="1" fillId="2" borderId="1" applyAlignment="1" pivotButton="0" quotePrefix="0" xfId="0">
      <alignment horizontal="left" vertical="top" wrapText="1"/>
    </xf>
    <xf numFmtId="0" fontId="4" fillId="6" borderId="1" applyAlignment="1" pivotButton="0" quotePrefix="0" xfId="0">
      <alignment horizontal="center" vertical="top" wrapText="1"/>
    </xf>
    <xf numFmtId="0" fontId="2" fillId="6" borderId="1" applyAlignment="1" pivotButton="0" quotePrefix="0" xfId="0">
      <alignment horizontal="left" vertical="top" wrapText="1"/>
    </xf>
    <xf numFmtId="0" fontId="4" fillId="4" borderId="1" applyAlignment="1" pivotButton="0" quotePrefix="0" xfId="0">
      <alignment horizontal="center" vertical="top" wrapText="1"/>
    </xf>
    <xf numFmtId="0" fontId="2" fillId="4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2">
    <dxf>
      <font>
        <color rgb="00DC2626"/>
      </font>
      <fill>
        <patternFill patternType="solid">
          <fgColor rgb="00FEE2E2"/>
        </patternFill>
      </fill>
    </dxf>
    <dxf>
      <font>
        <color rgb="0016A34A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Employee Tax Cost vs BIK Value (€)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'BIK Summary'!B18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'BIK Summary'!$A$19:$A$27</f>
            </numRef>
          </cat>
          <val>
            <numRef>
              <f>'BIK Summary'!$B$19:$B$27</f>
            </numRef>
          </val>
        </ser>
        <ser>
          <idx val="1"/>
          <order val="1"/>
          <tx>
            <strRef>
              <f>'BIK Summary'!C18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'BIK Summary'!$A$19:$A$27</f>
            </numRef>
          </cat>
          <val>
            <numRef>
              <f>'BIK Summary'!$C$19:$C$27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Employee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Fuel Type Mix</a:t>
            </a:r>
          </a:p>
        </rich>
      </tx>
    </title>
    <plotArea>
      <pieChart>
        <varyColors val="1"/>
        <ser>
          <idx val="0"/>
          <order val="0"/>
          <tx>
            <strRef>
              <f>'BIK Summary'!F17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22C55E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F59E0B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3B82F6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6B7280"/>
              </a:solidFill>
              <a:ln xmlns:a="http://schemas.openxmlformats.org/drawingml/2006/main"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EF4444"/>
              </a:solidFill>
              <a:ln xmlns:a="http://schemas.openxmlformats.org/drawingml/2006/main">
                <a:prstDash val="solid"/>
              </a:ln>
            </spPr>
          </dPt>
          <cat>
            <numRef>
              <f>'BIK Summary'!$E$18:$E$22</f>
            </numRef>
          </cat>
          <val>
            <numRef>
              <f>'BIK Summary'!$F$18:$F$22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2</row>
      <rowOff>0</rowOff>
    </from>
    <ext cx="792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19</row>
      <rowOff>0</rowOff>
    </from>
    <ext cx="576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14" customWidth="1" min="3" max="3"/>
    <col width="24" customWidth="1" min="4" max="4"/>
    <col width="16" customWidth="1" min="5" max="5"/>
    <col width="20" customWidth="1" min="6" max="6"/>
    <col width="24" customWidth="1" min="7" max="7"/>
    <col width="22" customWidth="1" min="8" max="8"/>
    <col width="22" customWidth="1" min="9" max="9"/>
    <col width="26" customWidth="1" min="10" max="10"/>
    <col width="20" customWidth="1" min="11" max="11"/>
    <col width="14" customWidth="1" min="12" max="12"/>
    <col width="18" customWidth="1" min="13" max="13"/>
    <col width="22" customWidth="1" min="14" max="14"/>
    <col width="22" customWidth="1" min="15" max="15"/>
    <col width="18" customWidth="1" min="16" max="16"/>
    <col width="12" customWidth="1" min="17" max="17"/>
    <col width="28" customWidth="1" min="18" max="18"/>
  </cols>
  <sheetData>
    <row r="1" ht="36" customHeight="1">
      <c r="A1" s="1" t="inlineStr">
        <is>
          <t>Employee Name</t>
        </is>
      </c>
      <c r="B1" s="1" t="inlineStr">
        <is>
          <t>County / Location</t>
        </is>
      </c>
      <c r="C1" s="1" t="inlineStr">
        <is>
          <t>PPS Number</t>
        </is>
      </c>
      <c r="D1" s="1" t="inlineStr">
        <is>
          <t>Car Make &amp; Model</t>
        </is>
      </c>
      <c r="E1" s="1" t="inlineStr">
        <is>
          <t>Fuel Type</t>
        </is>
      </c>
      <c r="F1" s="1" t="inlineStr">
        <is>
          <t>CO2 Band</t>
        </is>
      </c>
      <c r="G1" s="1" t="inlineStr">
        <is>
          <t>Original Market Value (€)</t>
        </is>
      </c>
      <c r="H1" s="1" t="inlineStr">
        <is>
          <t>Business Mileage (Annual)</t>
        </is>
      </c>
      <c r="I1" s="1" t="inlineStr">
        <is>
          <t>Private Mileage (Annual)</t>
        </is>
      </c>
      <c r="J1" s="1" t="inlineStr">
        <is>
          <t>Annual Lease / Finance Cost (€)</t>
        </is>
      </c>
      <c r="K1" s="1" t="inlineStr">
        <is>
          <t>Fuel Card Provided?</t>
        </is>
      </c>
      <c r="L1" s="1" t="inlineStr">
        <is>
          <t>BIK % Rate</t>
        </is>
      </c>
      <c r="M1" s="1" t="inlineStr">
        <is>
          <t>BIK Value (€)</t>
        </is>
      </c>
      <c r="N1" s="1" t="inlineStr">
        <is>
          <t>PAYE/PRSI/USC Rate %</t>
        </is>
      </c>
      <c r="O1" s="1" t="inlineStr">
        <is>
          <t>Employee Tax Cost (€)</t>
        </is>
      </c>
      <c r="P1" s="1" t="inlineStr">
        <is>
          <t>Employer Cost (€)</t>
        </is>
      </c>
      <c r="Q1" s="1" t="inlineStr">
        <is>
          <t>Tax Year</t>
        </is>
      </c>
      <c r="R1" s="1" t="inlineStr">
        <is>
          <t>Notes</t>
        </is>
      </c>
    </row>
    <row r="2">
      <c r="A2" s="2" t="inlineStr">
        <is>
          <t>Aoife Byrne</t>
        </is>
      </c>
      <c r="B2" s="2" t="inlineStr">
        <is>
          <t>Dublin</t>
        </is>
      </c>
      <c r="C2" s="2" t="inlineStr">
        <is>
          <t>1234567A</t>
        </is>
      </c>
      <c r="D2" s="2" t="inlineStr">
        <is>
          <t>Volkswagen ID.4</t>
        </is>
      </c>
      <c r="E2" s="2" t="inlineStr">
        <is>
          <t>EV</t>
        </is>
      </c>
      <c r="F2" s="2" t="inlineStr">
        <is>
          <t>EV</t>
        </is>
      </c>
      <c r="G2" s="3" t="n">
        <v>42000</v>
      </c>
      <c r="H2" s="4" t="n">
        <v>18500</v>
      </c>
      <c r="I2" s="4" t="n">
        <v>6000</v>
      </c>
      <c r="J2" s="3" t="n">
        <v>8500</v>
      </c>
      <c r="K2" s="5" t="inlineStr">
        <is>
          <t>Yes</t>
        </is>
      </c>
      <c r="L2" s="6">
        <f>IFERROR(VLOOKUP(E2,T15:U24,2,FALSE),0.30)</f>
        <v/>
      </c>
      <c r="M2" s="7">
        <f>G2*L2</f>
        <v/>
      </c>
      <c r="N2" s="8" t="n">
        <v>0.48</v>
      </c>
      <c r="O2" s="7">
        <f>M2*N2</f>
        <v/>
      </c>
      <c r="P2" s="7">
        <f>J2+IF(K2="Yes",1200,0)</f>
        <v/>
      </c>
      <c r="Q2" s="2" t="inlineStr">
        <is>
          <t>2026</t>
        </is>
      </c>
      <c r="R2" s="2">
        <f>IF(H2&gt;=15000,"High business use","Standard use")</f>
        <v/>
      </c>
    </row>
    <row r="3">
      <c r="A3" s="9" t="inlineStr">
        <is>
          <t>Seán Murphy</t>
        </is>
      </c>
      <c r="B3" s="9" t="inlineStr">
        <is>
          <t>Cork</t>
        </is>
      </c>
      <c r="C3" s="9" t="inlineStr">
        <is>
          <t>2345678B</t>
        </is>
      </c>
      <c r="D3" s="9" t="inlineStr">
        <is>
          <t>Toyota Corolla</t>
        </is>
      </c>
      <c r="E3" s="9" t="inlineStr">
        <is>
          <t>Petrol Hybrid</t>
        </is>
      </c>
      <c r="F3" s="9" t="inlineStr">
        <is>
          <t>Petrol Hybrid</t>
        </is>
      </c>
      <c r="G3" s="3" t="n">
        <v>28000</v>
      </c>
      <c r="H3" s="4" t="n">
        <v>12000</v>
      </c>
      <c r="I3" s="4" t="n">
        <v>8000</v>
      </c>
      <c r="J3" s="3" t="n">
        <v>5200</v>
      </c>
      <c r="K3" s="5" t="inlineStr">
        <is>
          <t>No</t>
        </is>
      </c>
      <c r="L3" s="10">
        <f>IFERROR(VLOOKUP(E3,T15:U24,2,FALSE),0.30)</f>
        <v/>
      </c>
      <c r="M3" s="11">
        <f>G3*L3</f>
        <v/>
      </c>
      <c r="N3" s="8" t="n">
        <v>0.48</v>
      </c>
      <c r="O3" s="11">
        <f>M3*N3</f>
        <v/>
      </c>
      <c r="P3" s="11">
        <f>J3+IF(K3="Yes",1200,0)</f>
        <v/>
      </c>
      <c r="Q3" s="9" t="inlineStr">
        <is>
          <t>2026</t>
        </is>
      </c>
      <c r="R3" s="9">
        <f>IF(H3&gt;=15000,"High business use","Standard use")</f>
        <v/>
      </c>
    </row>
    <row r="4">
      <c r="A4" s="2" t="inlineStr">
        <is>
          <t>Niamh Kelly</t>
        </is>
      </c>
      <c r="B4" s="2" t="inlineStr">
        <is>
          <t>Galway</t>
        </is>
      </c>
      <c r="C4" s="2" t="inlineStr">
        <is>
          <t>3456789C</t>
        </is>
      </c>
      <c r="D4" s="2" t="inlineStr">
        <is>
          <t>Skoda Octavia</t>
        </is>
      </c>
      <c r="E4" s="2" t="inlineStr">
        <is>
          <t>Diesel</t>
        </is>
      </c>
      <c r="F4" s="2" t="inlineStr">
        <is>
          <t>Diesel</t>
        </is>
      </c>
      <c r="G4" s="3" t="n">
        <v>27500</v>
      </c>
      <c r="H4" s="4" t="n">
        <v>10000</v>
      </c>
      <c r="I4" s="4" t="n">
        <v>9500</v>
      </c>
      <c r="J4" s="3" t="n">
        <v>5800</v>
      </c>
      <c r="K4" s="5" t="inlineStr">
        <is>
          <t>Yes</t>
        </is>
      </c>
      <c r="L4" s="6">
        <f>IFERROR(VLOOKUP(E4,T15:U24,2,FALSE),0.30)</f>
        <v/>
      </c>
      <c r="M4" s="7">
        <f>G4*L4</f>
        <v/>
      </c>
      <c r="N4" s="8" t="n">
        <v>0.4</v>
      </c>
      <c r="O4" s="7">
        <f>M4*N4</f>
        <v/>
      </c>
      <c r="P4" s="7">
        <f>J4+IF(K4="Yes",1200,0)</f>
        <v/>
      </c>
      <c r="Q4" s="2" t="inlineStr">
        <is>
          <t>2026</t>
        </is>
      </c>
      <c r="R4" s="2">
        <f>IF(H4&gt;=15000,"High business use","Standard use")</f>
        <v/>
      </c>
    </row>
    <row r="5">
      <c r="A5" s="9" t="inlineStr">
        <is>
          <t>Cian O'Connor</t>
        </is>
      </c>
      <c r="B5" s="9" t="inlineStr">
        <is>
          <t>Limerick</t>
        </is>
      </c>
      <c r="C5" s="9" t="inlineStr">
        <is>
          <t>4567890D</t>
        </is>
      </c>
      <c r="D5" s="9" t="inlineStr">
        <is>
          <t>BMW 3 Series</t>
        </is>
      </c>
      <c r="E5" s="9" t="inlineStr">
        <is>
          <t>Diesel</t>
        </is>
      </c>
      <c r="F5" s="9" t="inlineStr">
        <is>
          <t>Diesel</t>
        </is>
      </c>
      <c r="G5" s="3" t="n">
        <v>38000</v>
      </c>
      <c r="H5" s="4" t="n">
        <v>14000</v>
      </c>
      <c r="I5" s="4" t="n">
        <v>7500</v>
      </c>
      <c r="J5" s="3" t="n">
        <v>9200</v>
      </c>
      <c r="K5" s="5" t="inlineStr">
        <is>
          <t>Yes</t>
        </is>
      </c>
      <c r="L5" s="10">
        <f>IFERROR(VLOOKUP(E5,T15:U24,2,FALSE),0.30)</f>
        <v/>
      </c>
      <c r="M5" s="11">
        <f>G5*L5</f>
        <v/>
      </c>
      <c r="N5" s="8" t="n">
        <v>0.4</v>
      </c>
      <c r="O5" s="11">
        <f>M5*N5</f>
        <v/>
      </c>
      <c r="P5" s="11">
        <f>J5+IF(K5="Yes",1200,0)</f>
        <v/>
      </c>
      <c r="Q5" s="9" t="inlineStr">
        <is>
          <t>2026</t>
        </is>
      </c>
      <c r="R5" s="9">
        <f>IF(H5&gt;=15000,"High business use","Standard use")</f>
        <v/>
      </c>
    </row>
    <row r="6">
      <c r="A6" s="2" t="inlineStr">
        <is>
          <t>Saoirse Ní Bhraonáin</t>
        </is>
      </c>
      <c r="B6" s="2" t="inlineStr">
        <is>
          <t>Waterford</t>
        </is>
      </c>
      <c r="C6" s="2" t="inlineStr">
        <is>
          <t>5678901E</t>
        </is>
      </c>
      <c r="D6" s="2" t="inlineStr">
        <is>
          <t>Hyundai Ioniq 5</t>
        </is>
      </c>
      <c r="E6" s="2" t="inlineStr">
        <is>
          <t>EV</t>
        </is>
      </c>
      <c r="F6" s="2" t="inlineStr">
        <is>
          <t>EV</t>
        </is>
      </c>
      <c r="G6" s="3" t="n">
        <v>44000</v>
      </c>
      <c r="H6" s="4" t="n">
        <v>16000</v>
      </c>
      <c r="I6" s="4" t="n">
        <v>7000</v>
      </c>
      <c r="J6" s="3" t="n">
        <v>8800</v>
      </c>
      <c r="K6" s="5" t="inlineStr">
        <is>
          <t>No</t>
        </is>
      </c>
      <c r="L6" s="6">
        <f>IFERROR(VLOOKUP(E6,T15:U24,2,FALSE),0.30)</f>
        <v/>
      </c>
      <c r="M6" s="7">
        <f>G6*L6</f>
        <v/>
      </c>
      <c r="N6" s="8" t="n">
        <v>0.4</v>
      </c>
      <c r="O6" s="7">
        <f>M6*N6</f>
        <v/>
      </c>
      <c r="P6" s="7">
        <f>J6+IF(K6="Yes",1200,0)</f>
        <v/>
      </c>
      <c r="Q6" s="2" t="inlineStr">
        <is>
          <t>2026</t>
        </is>
      </c>
      <c r="R6" s="2">
        <f>IF(H6&gt;=15000,"High business use","Standard use")</f>
        <v/>
      </c>
    </row>
    <row r="7">
      <c r="A7" s="9" t="inlineStr">
        <is>
          <t>Conor Walsh</t>
        </is>
      </c>
      <c r="B7" s="9" t="inlineStr">
        <is>
          <t>Kilkenny</t>
        </is>
      </c>
      <c r="C7" s="9" t="inlineStr">
        <is>
          <t>6789012F</t>
        </is>
      </c>
      <c r="D7" s="9" t="inlineStr">
        <is>
          <t>Audi A4</t>
        </is>
      </c>
      <c r="E7" s="9" t="inlineStr">
        <is>
          <t>Diesel</t>
        </is>
      </c>
      <c r="F7" s="9" t="inlineStr">
        <is>
          <t>Diesel</t>
        </is>
      </c>
      <c r="G7" s="3" t="n">
        <v>35000</v>
      </c>
      <c r="H7" s="4" t="n">
        <v>11000</v>
      </c>
      <c r="I7" s="4" t="n">
        <v>9000</v>
      </c>
      <c r="J7" s="3" t="n">
        <v>8100</v>
      </c>
      <c r="K7" s="5" t="inlineStr">
        <is>
          <t>Yes</t>
        </is>
      </c>
      <c r="L7" s="10">
        <f>IFERROR(VLOOKUP(E7,T15:U24,2,FALSE),0.30)</f>
        <v/>
      </c>
      <c r="M7" s="11">
        <f>G7*L7</f>
        <v/>
      </c>
      <c r="N7" s="8" t="n">
        <v>0.4</v>
      </c>
      <c r="O7" s="11">
        <f>M7*N7</f>
        <v/>
      </c>
      <c r="P7" s="11">
        <f>J7+IF(K7="Yes",1200,0)</f>
        <v/>
      </c>
      <c r="Q7" s="9" t="inlineStr">
        <is>
          <t>2026</t>
        </is>
      </c>
      <c r="R7" s="9">
        <f>IF(H7&gt;=15000,"High business use","Standard use")</f>
        <v/>
      </c>
    </row>
    <row r="8">
      <c r="A8" s="2" t="inlineStr">
        <is>
          <t>Ciara Doyle</t>
        </is>
      </c>
      <c r="B8" s="2" t="inlineStr">
        <is>
          <t>Sligo</t>
        </is>
      </c>
      <c r="C8" s="2" t="inlineStr">
        <is>
          <t>7890123G</t>
        </is>
      </c>
      <c r="D8" s="2" t="inlineStr">
        <is>
          <t>Toyota C-HR</t>
        </is>
      </c>
      <c r="E8" s="2" t="inlineStr">
        <is>
          <t>Petrol Hybrid</t>
        </is>
      </c>
      <c r="F8" s="2" t="inlineStr">
        <is>
          <t>Petrol Hybrid</t>
        </is>
      </c>
      <c r="G8" s="3" t="n">
        <v>26000</v>
      </c>
      <c r="H8" s="4" t="n">
        <v>9500</v>
      </c>
      <c r="I8" s="4" t="n">
        <v>10000</v>
      </c>
      <c r="J8" s="3" t="n">
        <v>5100</v>
      </c>
      <c r="K8" s="5" t="inlineStr">
        <is>
          <t>No</t>
        </is>
      </c>
      <c r="L8" s="6">
        <f>IFERROR(VLOOKUP(E8,T15:U24,2,FALSE),0.30)</f>
        <v/>
      </c>
      <c r="M8" s="7">
        <f>G8*L8</f>
        <v/>
      </c>
      <c r="N8" s="8" t="n">
        <v>0.4</v>
      </c>
      <c r="O8" s="7">
        <f>M8*N8</f>
        <v/>
      </c>
      <c r="P8" s="7">
        <f>J8+IF(K8="Yes",1200,0)</f>
        <v/>
      </c>
      <c r="Q8" s="2" t="inlineStr">
        <is>
          <t>2026</t>
        </is>
      </c>
      <c r="R8" s="2">
        <f>IF(H8&gt;=15000,"High business use","Standard use")</f>
        <v/>
      </c>
    </row>
    <row r="9">
      <c r="A9" s="9" t="inlineStr">
        <is>
          <t>Oisín Healy</t>
        </is>
      </c>
      <c r="B9" s="9" t="inlineStr">
        <is>
          <t>Drogheda</t>
        </is>
      </c>
      <c r="C9" s="9" t="inlineStr">
        <is>
          <t>8901234H</t>
        </is>
      </c>
      <c r="D9" s="9" t="inlineStr">
        <is>
          <t>Ford Kuga</t>
        </is>
      </c>
      <c r="E9" s="9" t="inlineStr">
        <is>
          <t>Plug-in Hybrid</t>
        </is>
      </c>
      <c r="F9" s="9" t="inlineStr">
        <is>
          <t>Plug-in Hybrid</t>
        </is>
      </c>
      <c r="G9" s="3" t="n">
        <v>33000</v>
      </c>
      <c r="H9" s="4" t="n">
        <v>13000</v>
      </c>
      <c r="I9" s="4" t="n">
        <v>8500</v>
      </c>
      <c r="J9" s="3" t="n">
        <v>7400</v>
      </c>
      <c r="K9" s="5" t="inlineStr">
        <is>
          <t>Yes</t>
        </is>
      </c>
      <c r="L9" s="10">
        <f>IFERROR(VLOOKUP(E9,T15:U24,2,FALSE),0.30)</f>
        <v/>
      </c>
      <c r="M9" s="11">
        <f>G9*L9</f>
        <v/>
      </c>
      <c r="N9" s="8" t="n">
        <v>0.4</v>
      </c>
      <c r="O9" s="11">
        <f>M9*N9</f>
        <v/>
      </c>
      <c r="P9" s="11">
        <f>J9+IF(K9="Yes",1200,0)</f>
        <v/>
      </c>
      <c r="Q9" s="9" t="inlineStr">
        <is>
          <t>2026</t>
        </is>
      </c>
      <c r="R9" s="9">
        <f>IF(H9&gt;=15000,"High business use","Standard use")</f>
        <v/>
      </c>
    </row>
    <row r="10">
      <c r="A10" s="2" t="inlineStr">
        <is>
          <t>Róisín Byrne</t>
        </is>
      </c>
      <c r="B10" s="2" t="inlineStr">
        <is>
          <t>Dundalk</t>
        </is>
      </c>
      <c r="C10" s="2" t="inlineStr">
        <is>
          <t>9012345I</t>
        </is>
      </c>
      <c r="D10" s="2" t="inlineStr">
        <is>
          <t>Tesla Model 3</t>
        </is>
      </c>
      <c r="E10" s="2" t="inlineStr">
        <is>
          <t>EV</t>
        </is>
      </c>
      <c r="F10" s="2" t="inlineStr">
        <is>
          <t>EV</t>
        </is>
      </c>
      <c r="G10" s="3" t="n">
        <v>39000</v>
      </c>
      <c r="H10" s="4" t="n">
        <v>17000</v>
      </c>
      <c r="I10" s="4" t="n">
        <v>6500</v>
      </c>
      <c r="J10" s="3" t="n">
        <v>7900</v>
      </c>
      <c r="K10" s="5" t="inlineStr">
        <is>
          <t>No</t>
        </is>
      </c>
      <c r="L10" s="6">
        <f>IFERROR(VLOOKUP(E10,T15:U24,2,FALSE),0.30)</f>
        <v/>
      </c>
      <c r="M10" s="7">
        <f>G10*L10</f>
        <v/>
      </c>
      <c r="N10" s="8" t="n">
        <v>0.4</v>
      </c>
      <c r="O10" s="7">
        <f>M10*N10</f>
        <v/>
      </c>
      <c r="P10" s="7">
        <f>J10+IF(K10="Yes",1200,0)</f>
        <v/>
      </c>
      <c r="Q10" s="2" t="inlineStr">
        <is>
          <t>2026</t>
        </is>
      </c>
      <c r="R10" s="2">
        <f>IF(H10&gt;=15000,"High business use","Standard use")</f>
        <v/>
      </c>
    </row>
    <row r="11"/>
    <row r="12">
      <c r="A12" s="12" t="inlineStr">
        <is>
          <t>TOTALS</t>
        </is>
      </c>
      <c r="B12" s="12" t="n"/>
      <c r="C12" s="12" t="n"/>
      <c r="D12" s="12" t="n"/>
      <c r="E12" s="12" t="n"/>
      <c r="F12" s="12" t="n"/>
      <c r="G12" s="13">
        <f>SUM(G2:G11)</f>
        <v/>
      </c>
      <c r="H12" s="12" t="n"/>
      <c r="I12" s="12" t="n"/>
      <c r="J12" s="12" t="n"/>
      <c r="K12" s="12" t="n"/>
      <c r="L12" s="14">
        <f>AVERAGE(L2:L11)</f>
        <v/>
      </c>
      <c r="M12" s="13">
        <f>SUM(M2:M11)</f>
        <v/>
      </c>
      <c r="N12" s="12" t="n"/>
      <c r="O12" s="13">
        <f>SUM(O2:O11)</f>
        <v/>
      </c>
      <c r="P12" s="13">
        <f>SUM(P2:P11)</f>
        <v/>
      </c>
      <c r="Q12" s="12" t="n"/>
      <c r="R12" s="12" t="n"/>
    </row>
    <row r="13">
      <c r="A13" s="15" t="inlineStr">
        <is>
          <t>Cars with Fuel Card:</t>
        </is>
      </c>
      <c r="B13" s="16">
        <f>COUNTIF(K2:K11,"Yes")</f>
        <v/>
      </c>
      <c r="T13" s="17" t="inlineStr">
        <is>
          <t>CO2 / Fuel Type BIK Rate Lookup Table</t>
        </is>
      </c>
    </row>
    <row r="14">
      <c r="T14" s="18" t="inlineStr">
        <is>
          <t>CO2 Band / Fuel Type</t>
        </is>
      </c>
      <c r="U14" s="18" t="inlineStr">
        <is>
          <t>BIK % Rate</t>
        </is>
      </c>
    </row>
    <row r="15">
      <c r="T15" s="19" t="inlineStr">
        <is>
          <t>EV</t>
        </is>
      </c>
      <c r="U15" s="20" t="n">
        <v>0.09</v>
      </c>
    </row>
    <row r="16">
      <c r="T16" s="19" t="inlineStr">
        <is>
          <t>Plug-in Hybrid</t>
        </is>
      </c>
      <c r="U16" s="20" t="n">
        <v>0.155</v>
      </c>
    </row>
    <row r="17">
      <c r="T17" s="19" t="inlineStr">
        <is>
          <t>Petrol Hybrid</t>
        </is>
      </c>
      <c r="U17" s="20" t="n">
        <v>0.225</v>
      </c>
    </row>
    <row r="18">
      <c r="T18" s="19" t="inlineStr">
        <is>
          <t>Diesel</t>
        </is>
      </c>
      <c r="U18" s="20" t="n">
        <v>0.3</v>
      </c>
    </row>
    <row r="19">
      <c r="T19" s="19" t="inlineStr">
        <is>
          <t>Petrol</t>
        </is>
      </c>
      <c r="U19" s="20" t="n">
        <v>0.275</v>
      </c>
    </row>
    <row r="20">
      <c r="T20" s="19" t="inlineStr">
        <is>
          <t>Band A (0-59g)</t>
        </is>
      </c>
      <c r="U20" s="20" t="n">
        <v>0.18</v>
      </c>
    </row>
    <row r="21">
      <c r="T21" s="19" t="inlineStr">
        <is>
          <t>Band B (60-99g)</t>
        </is>
      </c>
      <c r="U21" s="20" t="n">
        <v>0.22</v>
      </c>
    </row>
    <row r="22">
      <c r="T22" s="19" t="inlineStr">
        <is>
          <t>Band C (100-139g)</t>
        </is>
      </c>
      <c r="U22" s="20" t="n">
        <v>0.26</v>
      </c>
    </row>
    <row r="23">
      <c r="T23" s="19" t="inlineStr">
        <is>
          <t>Band D (140-179g)</t>
        </is>
      </c>
      <c r="U23" s="20" t="n">
        <v>0.3</v>
      </c>
    </row>
    <row r="24">
      <c r="T24" s="19" t="inlineStr">
        <is>
          <t>Band E (180g+)</t>
        </is>
      </c>
      <c r="U24" s="20" t="n">
        <v>0.315</v>
      </c>
    </row>
  </sheetData>
  <conditionalFormatting sqref="O2:O11">
    <cfRule type="expression" priority="1" dxfId="0" stopIfTrue="0">
      <formula>O2&gt;3000</formula>
    </cfRule>
  </conditionalFormatting>
  <conditionalFormatting sqref="M2:M11">
    <cfRule type="expression" priority="2" dxfId="1" stopIfTrue="0">
      <formula>M2&gt;5000</formula>
    </cfRule>
  </conditionalFormatting>
  <dataValidations count="2">
    <dataValidation sqref="E2:E50" showErrorMessage="1" showInputMessage="1" allowBlank="0" type="list">
      <formula1>"EV,Petrol Hybrid,Plug-in Hybrid,Diesel,Petrol"</formula1>
    </dataValidation>
    <dataValidation sqref="K2:K50" showErrorMessage="1" showInputMessage="1" allowBlank="0" type="list">
      <formula1>"Yes,No"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3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 ht="32" customHeight="1">
      <c r="A1" s="21" t="inlineStr">
        <is>
          <t>BIK Company Car — Executive Summary (Tax Year 2026)</t>
        </is>
      </c>
    </row>
    <row r="2">
      <c r="A2" s="18" t="inlineStr">
        <is>
          <t>KPI</t>
        </is>
      </c>
      <c r="B2" s="18" t="inlineStr">
        <is>
          <t>Value</t>
        </is>
      </c>
    </row>
    <row r="3">
      <c r="A3" s="22" t="inlineStr">
        <is>
          <t>Total Number of Cars</t>
        </is>
      </c>
      <c r="B3" s="23">
        <f>COUNTIF('BIK Inputs'!A2:A11,"&lt;&gt;")</f>
        <v/>
      </c>
    </row>
    <row r="4">
      <c r="A4" s="24" t="inlineStr">
        <is>
          <t>Total Original Market Value</t>
        </is>
      </c>
      <c r="B4" s="25">
        <f>SUM('BIK Inputs'!G2:G11)</f>
        <v/>
      </c>
    </row>
    <row r="5">
      <c r="A5" s="22" t="inlineStr">
        <is>
          <t>Total BIK Value (€)</t>
        </is>
      </c>
      <c r="B5" s="26">
        <f>SUM('BIK Inputs'!M2:M11)</f>
        <v/>
      </c>
    </row>
    <row r="6">
      <c r="A6" s="24" t="inlineStr">
        <is>
          <t>Total Employee Tax Cost (€)</t>
        </is>
      </c>
      <c r="B6" s="25">
        <f>SUM('BIK Inputs'!O2:O11)</f>
        <v/>
      </c>
    </row>
    <row r="7">
      <c r="A7" s="22" t="inlineStr">
        <is>
          <t>Total Employer Cost (€)</t>
        </is>
      </c>
      <c r="B7" s="26">
        <f>SUM('BIK Inputs'!P2:P11)</f>
        <v/>
      </c>
    </row>
    <row r="8">
      <c r="A8" s="24" t="inlineStr">
        <is>
          <t>Average BIK % Rate</t>
        </is>
      </c>
      <c r="B8" s="27">
        <f>AVERAGE('BIK Inputs'!L2:L11)</f>
        <v/>
      </c>
    </row>
    <row r="9">
      <c r="A9" s="22" t="inlineStr">
        <is>
          <t>Count of EV Cars</t>
        </is>
      </c>
      <c r="B9" s="23">
        <f>COUNTIF('BIK Inputs'!E2:E11,"EV")</f>
        <v/>
      </c>
    </row>
    <row r="10">
      <c r="A10" s="24" t="inlineStr">
        <is>
          <t>Count of Plug-in Hybrid Cars</t>
        </is>
      </c>
      <c r="B10" s="28">
        <f>COUNTIF('BIK Inputs'!E2:E11,"Plug-in Hybrid")</f>
        <v/>
      </c>
    </row>
    <row r="11">
      <c r="A11" s="22" t="inlineStr">
        <is>
          <t>Count of Petrol Hybrid Cars</t>
        </is>
      </c>
      <c r="B11" s="23">
        <f>COUNTIF('BIK Inputs'!E2:E11,"Petrol Hybrid")</f>
        <v/>
      </c>
    </row>
    <row r="12">
      <c r="A12" s="24" t="inlineStr">
        <is>
          <t>Count of Diesel Cars</t>
        </is>
      </c>
      <c r="B12" s="28">
        <f>COUNTIF('BIK Inputs'!E2:E11,"Diesel")</f>
        <v/>
      </c>
    </row>
    <row r="13">
      <c r="A13" s="22" t="inlineStr">
        <is>
          <t>Highest Employee Tax Cost (€)</t>
        </is>
      </c>
      <c r="B13" s="26">
        <f>IFERROR(MAX('BIK Inputs'!O2:O11),0)</f>
        <v/>
      </c>
    </row>
    <row r="14">
      <c r="A14" s="24" t="inlineStr">
        <is>
          <t>Lowest Employee Tax Cost (€)</t>
        </is>
      </c>
      <c r="B14" s="25">
        <f>IFERROR(MIN('BIK Inputs'!O2:O11),0)</f>
        <v/>
      </c>
    </row>
    <row r="15"/>
    <row r="16"/>
    <row r="17">
      <c r="A17" s="29" t="inlineStr">
        <is>
          <t>Employee Tax Cost Breakdown</t>
        </is>
      </c>
      <c r="E17" s="18" t="inlineStr">
        <is>
          <t>Fuel Type</t>
        </is>
      </c>
      <c r="F17" s="18" t="inlineStr">
        <is>
          <t>Count</t>
        </is>
      </c>
    </row>
    <row r="18">
      <c r="A18" s="18" t="inlineStr">
        <is>
          <t>Employee Name</t>
        </is>
      </c>
      <c r="B18" s="18" t="inlineStr">
        <is>
          <t>Employee Tax Cost (€)</t>
        </is>
      </c>
      <c r="C18" s="18" t="inlineStr">
        <is>
          <t>BIK Value (€)</t>
        </is>
      </c>
      <c r="E18" s="2" t="inlineStr">
        <is>
          <t>EV</t>
        </is>
      </c>
      <c r="F18" s="30">
        <f>COUNTIF('BIK Inputs'!E2:E11,"EV")</f>
        <v/>
      </c>
    </row>
    <row r="19">
      <c r="A19" s="31">
        <f>'BIK Inputs'!A2</f>
        <v/>
      </c>
      <c r="B19" s="32">
        <f>'BIK Inputs'!O2</f>
        <v/>
      </c>
      <c r="C19" s="32">
        <f>'BIK Inputs'!M2</f>
        <v/>
      </c>
      <c r="E19" s="9" t="inlineStr">
        <is>
          <t>Petrol Hybrid</t>
        </is>
      </c>
      <c r="F19" s="33">
        <f>COUNTIF('BIK Inputs'!E2:E11,"Petrol Hybrid")</f>
        <v/>
      </c>
    </row>
    <row r="20">
      <c r="A20" s="34">
        <f>'BIK Inputs'!A3</f>
        <v/>
      </c>
      <c r="B20" s="35">
        <f>'BIK Inputs'!O3</f>
        <v/>
      </c>
      <c r="C20" s="35">
        <f>'BIK Inputs'!M3</f>
        <v/>
      </c>
      <c r="E20" s="2" t="inlineStr">
        <is>
          <t>Plug-in Hybrid</t>
        </is>
      </c>
      <c r="F20" s="30">
        <f>COUNTIF('BIK Inputs'!E2:E11,"Plug-in Hybrid")</f>
        <v/>
      </c>
    </row>
    <row r="21">
      <c r="A21" s="31">
        <f>'BIK Inputs'!A4</f>
        <v/>
      </c>
      <c r="B21" s="32">
        <f>'BIK Inputs'!O4</f>
        <v/>
      </c>
      <c r="C21" s="32">
        <f>'BIK Inputs'!M4</f>
        <v/>
      </c>
      <c r="E21" s="9" t="inlineStr">
        <is>
          <t>Diesel</t>
        </is>
      </c>
      <c r="F21" s="33">
        <f>COUNTIF('BIK Inputs'!E2:E11,"Diesel")</f>
        <v/>
      </c>
    </row>
    <row r="22">
      <c r="A22" s="34">
        <f>'BIK Inputs'!A5</f>
        <v/>
      </c>
      <c r="B22" s="35">
        <f>'BIK Inputs'!O5</f>
        <v/>
      </c>
      <c r="C22" s="35">
        <f>'BIK Inputs'!M5</f>
        <v/>
      </c>
      <c r="E22" s="2" t="inlineStr">
        <is>
          <t>Petrol</t>
        </is>
      </c>
      <c r="F22" s="30">
        <f>COUNTIF('BIK Inputs'!E2:E11,"Petrol")</f>
        <v/>
      </c>
    </row>
    <row r="23">
      <c r="A23" s="31">
        <f>'BIK Inputs'!A6</f>
        <v/>
      </c>
      <c r="B23" s="32">
        <f>'BIK Inputs'!O6</f>
        <v/>
      </c>
      <c r="C23" s="32">
        <f>'BIK Inputs'!M6</f>
        <v/>
      </c>
    </row>
    <row r="24">
      <c r="A24" s="34">
        <f>'BIK Inputs'!A7</f>
        <v/>
      </c>
      <c r="B24" s="35">
        <f>'BIK Inputs'!O7</f>
        <v/>
      </c>
      <c r="C24" s="35">
        <f>'BIK Inputs'!M7</f>
        <v/>
      </c>
    </row>
    <row r="25">
      <c r="A25" s="31">
        <f>'BIK Inputs'!A8</f>
        <v/>
      </c>
      <c r="B25" s="32">
        <f>'BIK Inputs'!O8</f>
        <v/>
      </c>
      <c r="C25" s="32">
        <f>'BIK Inputs'!M8</f>
        <v/>
      </c>
    </row>
    <row r="26">
      <c r="A26" s="34">
        <f>'BIK Inputs'!A9</f>
        <v/>
      </c>
      <c r="B26" s="35">
        <f>'BIK Inputs'!O9</f>
        <v/>
      </c>
      <c r="C26" s="35">
        <f>'BIK Inputs'!M9</f>
        <v/>
      </c>
    </row>
    <row r="27">
      <c r="A27" s="31">
        <f>'BIK Inputs'!A10</f>
        <v/>
      </c>
      <c r="B27" s="32">
        <f>'BIK Inputs'!O10</f>
        <v/>
      </c>
      <c r="C27" s="32">
        <f>'BIK Inputs'!M10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cols>
    <col width="18" customWidth="1" min="1" max="1"/>
    <col width="80" customWidth="1" min="2" max="2"/>
  </cols>
  <sheetData>
    <row r="1" ht="32" customHeight="1">
      <c r="A1" s="21" t="inlineStr">
        <is>
          <t>BIK Company Car Calculator — User Instructions</t>
        </is>
      </c>
    </row>
    <row r="2" ht="30" customHeight="1">
      <c r="A2" s="36" t="inlineStr">
        <is>
          <t>Sheet</t>
        </is>
      </c>
      <c r="B2" s="37" t="inlineStr">
        <is>
          <t>Guidance</t>
        </is>
      </c>
    </row>
    <row r="3" ht="30" customHeight="1">
      <c r="A3" s="38" t="inlineStr">
        <is>
          <t>BIK Inputs</t>
        </is>
      </c>
      <c r="B3" s="39" t="inlineStr">
        <is>
          <t>Enter one row per company car. Pale yellow cells are editable input cells (OMV, mileage, lease cost, fuel card, PAYE rate).</t>
        </is>
      </c>
    </row>
    <row r="4" ht="30" customHeight="1">
      <c r="A4" s="40" t="inlineStr">
        <is>
          <t>BIK Inputs</t>
        </is>
      </c>
      <c r="B4" s="41" t="inlineStr">
        <is>
          <t>Employee Name, County, PPS Number, Car Make &amp; Model, Fuel Type, and CO2 Band must be filled in manually.</t>
        </is>
      </c>
    </row>
    <row r="5" ht="30" customHeight="1">
      <c r="A5" s="38" t="inlineStr">
        <is>
          <t>BIK Inputs</t>
        </is>
      </c>
      <c r="B5" s="39" t="inlineStr">
        <is>
          <t>The 'BIK % Rate' column is calculated automatically by VLOOKUP using the CO2/Fuel Type lookup table (columns T–U).</t>
        </is>
      </c>
    </row>
    <row r="6" ht="30" customHeight="1">
      <c r="A6" s="40" t="inlineStr">
        <is>
          <t>BIK Inputs</t>
        </is>
      </c>
      <c r="B6" s="41" t="inlineStr">
        <is>
          <t>Original Market Value (OMV) is the list price of the car when first registered — use the manufacturer's Irish list price.</t>
        </is>
      </c>
    </row>
    <row r="7" ht="30" customHeight="1">
      <c r="A7" s="38" t="inlineStr">
        <is>
          <t>BIK Inputs</t>
        </is>
      </c>
      <c r="B7" s="39" t="inlineStr">
        <is>
          <t>Business Mileage: enter annual km driven for business purposes. If ≥ 15,000 km, the Notes column will show 'High business use'.</t>
        </is>
      </c>
    </row>
    <row r="8" ht="30" customHeight="1">
      <c r="A8" s="40" t="inlineStr">
        <is>
          <t>BIK Inputs</t>
        </is>
      </c>
      <c r="B8" s="41" t="inlineStr">
        <is>
          <t>Fuel Card Provided? Select Yes or No from the dropdown. A 'Yes' adds €1,200 to the Employer Cost as a fuel card estimate.</t>
        </is>
      </c>
    </row>
    <row r="9" ht="30" customHeight="1">
      <c r="A9" s="38" t="inlineStr">
        <is>
          <t>BIK Inputs</t>
        </is>
      </c>
      <c r="B9" s="39" t="inlineStr">
        <is>
          <t>PAYE/PRSI/USC Rate %: enter the employee's combined marginal rate (e.g. 0.40 for 40%, 0.48 for 48% higher rate).</t>
        </is>
      </c>
    </row>
    <row r="10" ht="30" customHeight="1">
      <c r="A10" s="40" t="inlineStr">
        <is>
          <t>BIK Inputs</t>
        </is>
      </c>
      <c r="B10" s="41" t="inlineStr">
        <is>
          <t>BIK Value = OMV × BIK % Rate. Employee Tax Cost = BIK Value × PAYE/PRSI/USC Rate.</t>
        </is>
      </c>
    </row>
    <row r="11" ht="30" customHeight="1">
      <c r="A11" s="38" t="inlineStr">
        <is>
          <t>BIK Summary</t>
        </is>
      </c>
      <c r="B11" s="39" t="inlineStr">
        <is>
          <t>Provides an executive-level dashboard: total cars, total OMV, total BIK, employee and employer tax costs, fuel type breakdown.</t>
        </is>
      </c>
    </row>
    <row r="12" ht="30" customHeight="1">
      <c r="A12" s="40" t="inlineStr">
        <is>
          <t>BIK Summary</t>
        </is>
      </c>
      <c r="B12" s="41" t="inlineStr">
        <is>
          <t>Charts show Employee Tax Cost vs BIK Value (column chart) and Fuel Type Mix (pie chart).</t>
        </is>
      </c>
    </row>
    <row r="13" ht="30" customHeight="1">
      <c r="A13" s="38" t="inlineStr">
        <is>
          <t>Tax Year 2026</t>
        </is>
      </c>
      <c r="B13" s="39" t="inlineStr">
        <is>
          <t>BIK rates in this workbook reflect 2026 Irish Revenue guidelines. Rates may change — always verify at revenue.ie or via ROS.</t>
        </is>
      </c>
    </row>
    <row r="14" ht="30" customHeight="1">
      <c r="A14" s="40" t="inlineStr">
        <is>
          <t>BIK Rates</t>
        </is>
      </c>
      <c r="B14" s="41" t="inlineStr">
        <is>
          <t>EV: 9% | Plug-in Hybrid: 15.5% | Petrol Hybrid: 22.5% | Diesel: 30% | Petrol: 27.5%. CO2 band rates also shown in lookup table.</t>
        </is>
      </c>
    </row>
    <row r="15" ht="30" customHeight="1">
      <c r="A15" s="38" t="inlineStr">
        <is>
          <t>Revenue Rules</t>
        </is>
      </c>
      <c r="B15" s="39" t="inlineStr">
        <is>
          <t>From 2023 onwards, Irish BIK for cars is based on CO2 emissions bands and business mileage bands. Check Revenue.ie for full tables.</t>
        </is>
      </c>
    </row>
    <row r="16" ht="30" customHeight="1">
      <c r="A16" s="40" t="inlineStr">
        <is>
          <t>Disclaimer</t>
        </is>
      </c>
      <c r="B16" s="41" t="inlineStr">
        <is>
          <t>This workbook is a planning tool only and does not constitute tax advice. Consult a qualified tax adviser or Revenue for definitive guidance.</t>
        </is>
      </c>
    </row>
    <row r="17" ht="30" customHeight="1">
      <c r="A17" s="38" t="inlineStr">
        <is>
          <t>ROS / Revenue</t>
        </is>
      </c>
      <c r="B17" s="39" t="inlineStr">
        <is>
          <t>For current BIK rules, visit: https://www.revenue.ie — search 'Benefit in Kind' or use ROS for PAYE Modernisation reporting.</t>
        </is>
      </c>
    </row>
    <row r="18" ht="30" customHeight="1">
      <c r="A18" s="40" t="inlineStr">
        <is>
          <t>Updating Rates</t>
        </is>
      </c>
      <c r="B18" s="41" t="inlineStr">
        <is>
          <t>To update BIK % rates, amend the lookup table in columns T–U of the 'BIK Inputs' sheet. All BIK % Rate cells will update automatically.</t>
        </is>
      </c>
    </row>
    <row r="19" ht="30" customHeight="1">
      <c r="A19" s="38" t="inlineStr">
        <is>
          <t>Adding Rows</t>
        </is>
      </c>
      <c r="B19" s="39" t="inlineStr">
        <is>
          <t>To add more cars, insert rows between rows 2 and 11, copy formulas from adjacent rows, and adjust SUM ranges in row 12 accordingly.</t>
        </is>
      </c>
    </row>
    <row r="20" ht="30" customHeight="1">
      <c r="A20" s="40" t="inlineStr">
        <is>
          <t>VAT / OMV</t>
        </is>
      </c>
      <c r="B20" s="41" t="inlineStr">
        <is>
          <t>OMV for BIK purposes is the original list price including VAT but before VRT. Do not use the purchase price or current market value.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2026-06-19T02:09:41Z</dcterms:created>
  <dcterms:modified xmlns:dcterms="http://purl.org/dc/terms/" xmlns:xsi="http://www.w3.org/2001/XMLSchema-instance" xsi:type="dcterms:W3CDTF">2026-06-19T02:09:41Z</dcterms:modified>
</cp:coreProperties>
</file>